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S:\Montebello -6th Street on Grand- CCF\3.1 CTCAC\Application\Ready for Review\Reviewed\"/>
    </mc:Choice>
  </mc:AlternateContent>
  <xr:revisionPtr revIDLastSave="0" documentId="13_ncr:1_{591E617C-4D2A-4DB3-88B7-D5BF44474DBF}" xr6:coauthVersionLast="46" xr6:coauthVersionMax="46" xr10:uidLastSave="{00000000-0000-0000-0000-000000000000}"/>
  <bookViews>
    <workbookView xWindow="28680" yWindow="-120" windowWidth="29040" windowHeight="15840" tabRatio="927" firstSheet="2" activeTab="2" xr2:uid="{00000000-000D-0000-FFFF-FFFF00000000}"/>
  </bookViews>
  <sheets>
    <sheet name="Instructions-App Completion" sheetId="1" r:id="rId1"/>
    <sheet name="Instructions-Electronic Submit" sheetId="2" r:id="rId2"/>
    <sheet name="Application" sheetId="3" r:id="rId3"/>
    <sheet name="Checklist Items" sheetId="21"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2" hidden="1">Application!$884:$1016</definedName>
    <definedName name="Alameda">Application!$BP$687:$BV$744</definedName>
    <definedName name="bedrooms" localSheetId="3">[1]Application!$BC$673:$BI$673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3">'Checklist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3">[1]Application!$AP$211:$AP$220</definedName>
    <definedName name="set_aside">Application!$AX$194:$AX$204</definedName>
    <definedName name="TC_Rent" localSheetId="3">[1]Application!$BC$674:$BI$731</definedName>
    <definedName name="TC_Rent" localSheetId="9">[2]Application!$BC$683:$BI$740</definedName>
    <definedName name="TC_Rent">Application!$BP$687:$BV$744</definedName>
    <definedName name="Z_48A1B9AA_9520_4513_968D_1FB22989E0AF_.wvu.Cols" localSheetId="2" hidden="1">Application!$AM:$IW</definedName>
    <definedName name="Z_48A1B9AA_9520_4513_968D_1FB22989E0AF_.wvu.Cols" localSheetId="6" hidden="1">'Basis &amp; Credits'!#REF!</definedName>
    <definedName name="Z_48A1B9AA_9520_4513_968D_1FB22989E0AF_.wvu.Cols" localSheetId="3"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2" hidden="1">Application!$884:$1016</definedName>
    <definedName name="Z_48A1B9AA_9520_4513_968D_1FB22989E0AF_.wvu.PrintArea" localSheetId="10" hidden="1">'15 Year Pro Forma'!$A$1:$AH$77</definedName>
    <definedName name="Z_48A1B9AA_9520_4513_968D_1FB22989E0AF_.wvu.PrintArea" localSheetId="2" hidden="1">Application!$A$1:$AL$1056</definedName>
    <definedName name="Z_48A1B9AA_9520_4513_968D_1FB22989E0AF_.wvu.PrintArea" localSheetId="6" hidden="1">'Basis &amp; Credits'!$A$1:$AN$81</definedName>
    <definedName name="Z_48A1B9AA_9520_4513_968D_1FB22989E0AF_.wvu.PrintArea" localSheetId="3"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2" hidden="1">Application!$1089:$65565</definedName>
    <definedName name="Z_48A1B9AA_9520_4513_968D_1FB22989E0AF_.wvu.Rows" localSheetId="6" hidden="1">'Basis &amp; Credits'!$90:$65525,'Basis &amp; Credits'!$82:$89</definedName>
    <definedName name="Z_48A1B9AA_9520_4513_968D_1FB22989E0AF_.wvu.Rows" localSheetId="3"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2" i="3" l="1"/>
  <c r="Z789" i="3" l="1"/>
  <c r="L921" i="3" l="1"/>
  <c r="L920" i="3"/>
  <c r="Q562" i="3"/>
  <c r="Q501" i="3"/>
  <c r="AC862" i="3"/>
  <c r="E74" i="4"/>
  <c r="O632" i="3" l="1"/>
  <c r="O631" i="3"/>
  <c r="Q560" i="3"/>
  <c r="Q559" i="3"/>
  <c r="Q500" i="3"/>
  <c r="Q84" i="25"/>
  <c r="E4" i="9"/>
  <c r="E30" i="4"/>
  <c r="J30" i="4"/>
  <c r="S30" i="4"/>
  <c r="R49" i="4"/>
  <c r="E57" i="4"/>
  <c r="E49" i="4"/>
  <c r="C49" i="4"/>
  <c r="E68" i="4"/>
  <c r="S32" i="4"/>
  <c r="S33" i="4"/>
  <c r="E33" i="4"/>
  <c r="E32" i="4"/>
  <c r="C33" i="4"/>
  <c r="C32" i="4"/>
  <c r="C30" i="4"/>
  <c r="F30" i="4"/>
  <c r="S10" i="4"/>
  <c r="J10" i="4"/>
  <c r="S85" i="4"/>
  <c r="E85" i="4"/>
  <c r="O634" i="3"/>
  <c r="Q384" i="3"/>
  <c r="AB70" i="5" l="1"/>
  <c r="AB49" i="5"/>
  <c r="E98" i="4"/>
  <c r="E84" i="4"/>
  <c r="R84" i="4" s="1"/>
  <c r="F29" i="4"/>
  <c r="J29" i="4"/>
  <c r="J4" i="4"/>
  <c r="S29" i="4"/>
  <c r="C29" i="4"/>
  <c r="R66" i="4"/>
  <c r="R40" i="4"/>
  <c r="I28" i="9" l="1"/>
  <c r="K28" i="9" s="1"/>
  <c r="M28" i="9"/>
  <c r="O28" i="9"/>
  <c r="Q28" i="9" s="1"/>
  <c r="S28" i="9" s="1"/>
  <c r="U28" i="9"/>
  <c r="W28" i="9" s="1"/>
  <c r="Y28" i="9" s="1"/>
  <c r="AA28" i="9" s="1"/>
  <c r="AC28" i="9" s="1"/>
  <c r="AE28" i="9" s="1"/>
  <c r="AG28" i="9" s="1"/>
  <c r="AI28" i="9" s="1"/>
  <c r="AK28" i="9" s="1"/>
  <c r="AM28" i="9" s="1"/>
  <c r="AO28" i="9" s="1"/>
  <c r="AQ28" i="9" s="1"/>
  <c r="AS28" i="9" s="1"/>
  <c r="AU28" i="9" s="1"/>
  <c r="AW28" i="9" s="1"/>
  <c r="AY28" i="9" s="1"/>
  <c r="BA28" i="9" s="1"/>
  <c r="BC28" i="9" s="1"/>
  <c r="BE28" i="9" s="1"/>
  <c r="BG28" i="9" s="1"/>
  <c r="BI28" i="9" s="1"/>
  <c r="BK28" i="9" s="1"/>
  <c r="BM28" i="9" s="1"/>
  <c r="BO28" i="9" s="1"/>
  <c r="BQ28" i="9" s="1"/>
  <c r="BS28" i="9" s="1"/>
  <c r="BU28" i="9" s="1"/>
  <c r="BW28" i="9" s="1"/>
  <c r="BY28" i="9" s="1"/>
  <c r="CA28" i="9" s="1"/>
  <c r="CC28" i="9" s="1"/>
  <c r="CE28" i="9" s="1"/>
  <c r="CG28" i="9" s="1"/>
  <c r="CI28" i="9" s="1"/>
  <c r="CK28" i="9" s="1"/>
  <c r="CM28" i="9" s="1"/>
  <c r="CO28" i="9" s="1"/>
  <c r="CQ28" i="9" s="1"/>
  <c r="CS28" i="9" s="1"/>
  <c r="CU28" i="9" s="1"/>
  <c r="CW28" i="9" s="1"/>
  <c r="CY28" i="9" s="1"/>
  <c r="DA28" i="9" s="1"/>
  <c r="DC28" i="9" s="1"/>
  <c r="DE28" i="9" s="1"/>
  <c r="DG28" i="9" s="1"/>
  <c r="DI28" i="9" s="1"/>
  <c r="DK28" i="9" s="1"/>
  <c r="DM28" i="9" s="1"/>
  <c r="DO28" i="9" s="1"/>
  <c r="DQ28" i="9" s="1"/>
  <c r="DS28" i="9" s="1"/>
  <c r="DU28" i="9" s="1"/>
  <c r="DW28" i="9" s="1"/>
  <c r="DY28" i="9" s="1"/>
  <c r="EA28" i="9" s="1"/>
  <c r="EC28" i="9" s="1"/>
  <c r="EE28" i="9" s="1"/>
  <c r="EG28" i="9" s="1"/>
  <c r="EI28" i="9" s="1"/>
  <c r="EK28" i="9" s="1"/>
  <c r="EM28" i="9" s="1"/>
  <c r="EO28" i="9" s="1"/>
  <c r="EQ28" i="9" s="1"/>
  <c r="ES28" i="9" s="1"/>
  <c r="EU28" i="9" s="1"/>
  <c r="EW28" i="9" s="1"/>
  <c r="EY28" i="9" s="1"/>
  <c r="FA28" i="9" s="1"/>
  <c r="FC28" i="9" s="1"/>
  <c r="FE28" i="9" s="1"/>
  <c r="FG28" i="9" s="1"/>
  <c r="FI28" i="9" s="1"/>
  <c r="FK28" i="9" s="1"/>
  <c r="FM28" i="9" s="1"/>
  <c r="FO28" i="9" s="1"/>
  <c r="FQ28" i="9" s="1"/>
  <c r="FS28" i="9" s="1"/>
  <c r="FU28" i="9" s="1"/>
  <c r="FW28" i="9" s="1"/>
  <c r="FY28" i="9" s="1"/>
  <c r="GA28" i="9" s="1"/>
  <c r="GC28" i="9" s="1"/>
  <c r="GE28" i="9" s="1"/>
  <c r="GG28" i="9" s="1"/>
  <c r="GI28" i="9" s="1"/>
  <c r="GK28" i="9" s="1"/>
  <c r="GM28" i="9" s="1"/>
  <c r="GO28" i="9" s="1"/>
  <c r="GQ28" i="9" s="1"/>
  <c r="GS28" i="9" s="1"/>
  <c r="GU28" i="9" s="1"/>
  <c r="GW28" i="9" s="1"/>
  <c r="GY28" i="9" s="1"/>
  <c r="HA28" i="9" s="1"/>
  <c r="HC28" i="9" s="1"/>
  <c r="HE28" i="9" s="1"/>
  <c r="HG28" i="9" s="1"/>
  <c r="HI28" i="9" s="1"/>
  <c r="HK28" i="9" s="1"/>
  <c r="HM28" i="9" s="1"/>
  <c r="HO28" i="9" s="1"/>
  <c r="HQ28" i="9" s="1"/>
  <c r="HS28" i="9" s="1"/>
  <c r="HU28" i="9" s="1"/>
  <c r="HW28" i="9" s="1"/>
  <c r="HY28" i="9" s="1"/>
  <c r="IA28" i="9" s="1"/>
  <c r="IC28" i="9" s="1"/>
  <c r="IE28" i="9" s="1"/>
  <c r="IG28" i="9" s="1"/>
  <c r="II28" i="9" s="1"/>
  <c r="IK28" i="9" s="1"/>
  <c r="IM28" i="9" s="1"/>
  <c r="IO28" i="9" s="1"/>
  <c r="IQ28" i="9" s="1"/>
  <c r="IS28" i="9" s="1"/>
  <c r="IU28" i="9" s="1"/>
  <c r="IW28" i="9" s="1"/>
  <c r="IY28" i="9" s="1"/>
  <c r="JA28" i="9" s="1"/>
  <c r="JC28" i="9" s="1"/>
  <c r="JE28" i="9" s="1"/>
  <c r="JG28" i="9" s="1"/>
  <c r="JI28" i="9" s="1"/>
  <c r="JK28" i="9" s="1"/>
  <c r="JM28" i="9" s="1"/>
  <c r="JO28" i="9" s="1"/>
  <c r="JQ28" i="9" s="1"/>
  <c r="JS28" i="9" s="1"/>
  <c r="JU28" i="9" s="1"/>
  <c r="JW28" i="9" s="1"/>
  <c r="JY28" i="9" s="1"/>
  <c r="KA28" i="9" s="1"/>
  <c r="KC28" i="9" s="1"/>
  <c r="KE28" i="9" s="1"/>
  <c r="KG28" i="9" s="1"/>
  <c r="KI28" i="9" s="1"/>
  <c r="KK28" i="9" s="1"/>
  <c r="KM28" i="9" s="1"/>
  <c r="KO28" i="9" s="1"/>
  <c r="KQ28" i="9" s="1"/>
  <c r="KS28" i="9" s="1"/>
  <c r="KU28" i="9" s="1"/>
  <c r="KW28" i="9" s="1"/>
  <c r="KY28" i="9" s="1"/>
  <c r="LA28" i="9" s="1"/>
  <c r="LC28" i="9" s="1"/>
  <c r="LE28" i="9" s="1"/>
  <c r="LG28" i="9" s="1"/>
  <c r="LI28" i="9" s="1"/>
  <c r="LK28" i="9" s="1"/>
  <c r="LM28" i="9" s="1"/>
  <c r="LO28" i="9" s="1"/>
  <c r="LQ28" i="9" s="1"/>
  <c r="LS28" i="9" s="1"/>
  <c r="LU28" i="9" s="1"/>
  <c r="LW28" i="9" s="1"/>
  <c r="LY28" i="9" s="1"/>
  <c r="MA28" i="9" s="1"/>
  <c r="MC28" i="9" s="1"/>
  <c r="ME28" i="9" s="1"/>
  <c r="MG28" i="9" s="1"/>
  <c r="MI28" i="9" s="1"/>
  <c r="MK28" i="9" s="1"/>
  <c r="MM28" i="9" s="1"/>
  <c r="MO28" i="9" s="1"/>
  <c r="MQ28" i="9" s="1"/>
  <c r="MS28" i="9" s="1"/>
  <c r="MU28" i="9" s="1"/>
  <c r="MW28" i="9" s="1"/>
  <c r="MY28" i="9" s="1"/>
  <c r="NA28" i="9" s="1"/>
  <c r="NC28" i="9" s="1"/>
  <c r="NE28" i="9" s="1"/>
  <c r="NG28" i="9" s="1"/>
  <c r="NI28" i="9" s="1"/>
  <c r="NK28" i="9" s="1"/>
  <c r="NM28" i="9" s="1"/>
  <c r="NO28" i="9" s="1"/>
  <c r="NQ28" i="9" s="1"/>
  <c r="NS28" i="9" s="1"/>
  <c r="NU28" i="9" s="1"/>
  <c r="NW28" i="9" s="1"/>
  <c r="NY28" i="9" s="1"/>
  <c r="OA28" i="9" s="1"/>
  <c r="OC28" i="9" s="1"/>
  <c r="OE28" i="9" s="1"/>
  <c r="OG28" i="9" s="1"/>
  <c r="OI28" i="9" s="1"/>
  <c r="OK28" i="9" s="1"/>
  <c r="OM28" i="9" s="1"/>
  <c r="OO28" i="9" s="1"/>
  <c r="OQ28" i="9" s="1"/>
  <c r="OS28" i="9" s="1"/>
  <c r="OU28" i="9" s="1"/>
  <c r="OW28" i="9" s="1"/>
  <c r="OY28" i="9" s="1"/>
  <c r="PA28" i="9" s="1"/>
  <c r="PC28" i="9" s="1"/>
  <c r="PE28" i="9" s="1"/>
  <c r="PG28" i="9" s="1"/>
  <c r="PI28" i="9" s="1"/>
  <c r="PK28" i="9" s="1"/>
  <c r="PM28" i="9" s="1"/>
  <c r="PO28" i="9" s="1"/>
  <c r="PQ28" i="9" s="1"/>
  <c r="PS28" i="9" s="1"/>
  <c r="PU28" i="9" s="1"/>
  <c r="PW28" i="9" s="1"/>
  <c r="PY28" i="9" s="1"/>
  <c r="QA28" i="9" s="1"/>
  <c r="QC28" i="9" s="1"/>
  <c r="QE28" i="9" s="1"/>
  <c r="QG28" i="9" s="1"/>
  <c r="QI28" i="9" s="1"/>
  <c r="QK28" i="9" s="1"/>
  <c r="QM28" i="9" s="1"/>
  <c r="QO28" i="9" s="1"/>
  <c r="QQ28" i="9" s="1"/>
  <c r="QS28" i="9" s="1"/>
  <c r="QU28" i="9" s="1"/>
  <c r="QW28" i="9" s="1"/>
  <c r="QY28" i="9" s="1"/>
  <c r="RA28" i="9" s="1"/>
  <c r="RC28" i="9" s="1"/>
  <c r="RE28" i="9" s="1"/>
  <c r="RG28" i="9" s="1"/>
  <c r="RI28" i="9" s="1"/>
  <c r="RK28" i="9" s="1"/>
  <c r="RM28" i="9" s="1"/>
  <c r="RO28" i="9" s="1"/>
  <c r="RQ28" i="9" s="1"/>
  <c r="RS28" i="9" s="1"/>
  <c r="RU28" i="9" s="1"/>
  <c r="RW28" i="9" s="1"/>
  <c r="RY28" i="9" s="1"/>
  <c r="SA28" i="9" s="1"/>
  <c r="SC28" i="9" s="1"/>
  <c r="SE28" i="9" s="1"/>
  <c r="SG28" i="9" s="1"/>
  <c r="SI28" i="9" s="1"/>
  <c r="SK28" i="9" s="1"/>
  <c r="SM28" i="9" s="1"/>
  <c r="SO28" i="9" s="1"/>
  <c r="SQ28" i="9" s="1"/>
  <c r="SS28" i="9" s="1"/>
  <c r="SU28" i="9" s="1"/>
  <c r="SW28" i="9" s="1"/>
  <c r="SY28" i="9" s="1"/>
  <c r="TA28" i="9" s="1"/>
  <c r="TC28" i="9" s="1"/>
  <c r="TE28" i="9" s="1"/>
  <c r="TG28" i="9" s="1"/>
  <c r="TI28" i="9" s="1"/>
  <c r="TK28" i="9" s="1"/>
  <c r="TM28" i="9" s="1"/>
  <c r="TO28" i="9" s="1"/>
  <c r="TQ28" i="9" s="1"/>
  <c r="TS28" i="9" s="1"/>
  <c r="TU28" i="9" s="1"/>
  <c r="TW28" i="9" s="1"/>
  <c r="TY28" i="9" s="1"/>
  <c r="UA28" i="9" s="1"/>
  <c r="UC28" i="9" s="1"/>
  <c r="UE28" i="9" s="1"/>
  <c r="UG28" i="9" s="1"/>
  <c r="UI28" i="9" s="1"/>
  <c r="UK28" i="9" s="1"/>
  <c r="UM28" i="9" s="1"/>
  <c r="UO28" i="9" s="1"/>
  <c r="UQ28" i="9" s="1"/>
  <c r="US28" i="9" s="1"/>
  <c r="UU28" i="9" s="1"/>
  <c r="UW28" i="9" s="1"/>
  <c r="UY28" i="9" s="1"/>
  <c r="VA28" i="9" s="1"/>
  <c r="VC28" i="9" s="1"/>
  <c r="VE28" i="9" s="1"/>
  <c r="VG28" i="9" s="1"/>
  <c r="VI28" i="9" s="1"/>
  <c r="VK28" i="9" s="1"/>
  <c r="VM28" i="9" s="1"/>
  <c r="VO28" i="9" s="1"/>
  <c r="VQ28" i="9" s="1"/>
  <c r="VS28" i="9" s="1"/>
  <c r="VU28" i="9" s="1"/>
  <c r="VW28" i="9" s="1"/>
  <c r="VY28" i="9" s="1"/>
  <c r="WA28" i="9" s="1"/>
  <c r="WC28" i="9" s="1"/>
  <c r="WE28" i="9" s="1"/>
  <c r="WG28" i="9" s="1"/>
  <c r="WI28" i="9" s="1"/>
  <c r="WK28" i="9" s="1"/>
  <c r="WM28" i="9" s="1"/>
  <c r="WO28" i="9" s="1"/>
  <c r="WQ28" i="9" s="1"/>
  <c r="WS28" i="9" s="1"/>
  <c r="WU28" i="9" s="1"/>
  <c r="WW28" i="9" s="1"/>
  <c r="WY28" i="9" s="1"/>
  <c r="XA28" i="9" s="1"/>
  <c r="XC28" i="9" s="1"/>
  <c r="XE28" i="9" s="1"/>
  <c r="XG28" i="9" s="1"/>
  <c r="XI28" i="9" s="1"/>
  <c r="XK28" i="9" s="1"/>
  <c r="XM28" i="9" s="1"/>
  <c r="XO28" i="9" s="1"/>
  <c r="XQ28" i="9" s="1"/>
  <c r="XS28" i="9" s="1"/>
  <c r="XU28" i="9" s="1"/>
  <c r="XW28" i="9" s="1"/>
  <c r="XY28" i="9" s="1"/>
  <c r="YA28" i="9" s="1"/>
  <c r="YC28" i="9" s="1"/>
  <c r="YE28" i="9" s="1"/>
  <c r="YG28" i="9" s="1"/>
  <c r="YI28" i="9" s="1"/>
  <c r="YK28" i="9" s="1"/>
  <c r="YM28" i="9" s="1"/>
  <c r="YO28" i="9" s="1"/>
  <c r="YQ28" i="9" s="1"/>
  <c r="YS28" i="9" s="1"/>
  <c r="YU28" i="9" s="1"/>
  <c r="YW28" i="9" s="1"/>
  <c r="YY28" i="9" s="1"/>
  <c r="ZA28" i="9" s="1"/>
  <c r="ZC28" i="9" s="1"/>
  <c r="ZE28" i="9" s="1"/>
  <c r="ZG28" i="9" s="1"/>
  <c r="ZI28" i="9" s="1"/>
  <c r="ZK28" i="9" s="1"/>
  <c r="ZM28" i="9" s="1"/>
  <c r="ZO28" i="9" s="1"/>
  <c r="ZQ28" i="9" s="1"/>
  <c r="ZS28" i="9" s="1"/>
  <c r="ZU28" i="9" s="1"/>
  <c r="ZW28" i="9" s="1"/>
  <c r="ZY28" i="9" s="1"/>
  <c r="AAA28" i="9" s="1"/>
  <c r="AAC28" i="9" s="1"/>
  <c r="AAE28" i="9" s="1"/>
  <c r="AAG28" i="9" s="1"/>
  <c r="AAI28" i="9" s="1"/>
  <c r="AAK28" i="9" s="1"/>
  <c r="AAM28" i="9" s="1"/>
  <c r="AAO28" i="9" s="1"/>
  <c r="AAQ28" i="9" s="1"/>
  <c r="AAS28" i="9" s="1"/>
  <c r="AAU28" i="9" s="1"/>
  <c r="AAW28" i="9" s="1"/>
  <c r="AAY28" i="9" s="1"/>
  <c r="ABA28" i="9" s="1"/>
  <c r="ABC28" i="9" s="1"/>
  <c r="ABE28" i="9" s="1"/>
  <c r="ABG28" i="9" s="1"/>
  <c r="ABI28" i="9" s="1"/>
  <c r="ABK28" i="9" s="1"/>
  <c r="ABM28" i="9" s="1"/>
  <c r="ABO28" i="9" s="1"/>
  <c r="ABQ28" i="9" s="1"/>
  <c r="ABS28" i="9" s="1"/>
  <c r="ABU28" i="9" s="1"/>
  <c r="ABW28" i="9" s="1"/>
  <c r="ABY28" i="9" s="1"/>
  <c r="ACA28" i="9" s="1"/>
  <c r="ACC28" i="9" s="1"/>
  <c r="ACE28" i="9" s="1"/>
  <c r="ACG28" i="9" s="1"/>
  <c r="ACI28" i="9" s="1"/>
  <c r="ACK28" i="9" s="1"/>
  <c r="ACM28" i="9" s="1"/>
  <c r="ACO28" i="9" s="1"/>
  <c r="ACQ28" i="9" s="1"/>
  <c r="ACS28" i="9" s="1"/>
  <c r="ACU28" i="9" s="1"/>
  <c r="ACW28" i="9" s="1"/>
  <c r="ACY28" i="9" s="1"/>
  <c r="ADA28" i="9" s="1"/>
  <c r="ADC28" i="9" s="1"/>
  <c r="ADE28" i="9" s="1"/>
  <c r="ADG28" i="9" s="1"/>
  <c r="ADI28" i="9" s="1"/>
  <c r="ADK28" i="9" s="1"/>
  <c r="ADM28" i="9" s="1"/>
  <c r="ADO28" i="9" s="1"/>
  <c r="ADQ28" i="9" s="1"/>
  <c r="ADS28" i="9" s="1"/>
  <c r="ADU28" i="9" s="1"/>
  <c r="ADW28" i="9" s="1"/>
  <c r="ADY28" i="9" s="1"/>
  <c r="AEA28" i="9" s="1"/>
  <c r="AEC28" i="9" s="1"/>
  <c r="AEE28" i="9" s="1"/>
  <c r="AEG28" i="9" s="1"/>
  <c r="AEI28" i="9" s="1"/>
  <c r="AEK28" i="9" s="1"/>
  <c r="AEM28" i="9" s="1"/>
  <c r="AEO28" i="9" s="1"/>
  <c r="AEQ28" i="9" s="1"/>
  <c r="AES28" i="9" s="1"/>
  <c r="AEU28" i="9" s="1"/>
  <c r="AEW28" i="9" s="1"/>
  <c r="AEY28" i="9" s="1"/>
  <c r="AFA28" i="9" s="1"/>
  <c r="AFC28" i="9" s="1"/>
  <c r="AFE28" i="9" s="1"/>
  <c r="AFG28" i="9" s="1"/>
  <c r="AFI28" i="9" s="1"/>
  <c r="AFK28" i="9" s="1"/>
  <c r="AFM28" i="9" s="1"/>
  <c r="AFO28" i="9" s="1"/>
  <c r="AFQ28" i="9" s="1"/>
  <c r="AFS28" i="9" s="1"/>
  <c r="AFU28" i="9" s="1"/>
  <c r="AFW28" i="9" s="1"/>
  <c r="AFY28" i="9" s="1"/>
  <c r="AGA28" i="9" s="1"/>
  <c r="AGC28" i="9" s="1"/>
  <c r="AGE28" i="9" s="1"/>
  <c r="AGG28" i="9" s="1"/>
  <c r="AGI28" i="9" s="1"/>
  <c r="AGK28" i="9" s="1"/>
  <c r="AGM28" i="9" s="1"/>
  <c r="AGO28" i="9" s="1"/>
  <c r="AGQ28" i="9" s="1"/>
  <c r="AGS28" i="9" s="1"/>
  <c r="AGU28" i="9" s="1"/>
  <c r="AGW28" i="9" s="1"/>
  <c r="AGY28" i="9" s="1"/>
  <c r="AHA28" i="9" s="1"/>
  <c r="AHC28" i="9" s="1"/>
  <c r="AHE28" i="9" s="1"/>
  <c r="AHG28" i="9" s="1"/>
  <c r="AHI28" i="9" s="1"/>
  <c r="AHK28" i="9" s="1"/>
  <c r="AHM28" i="9" s="1"/>
  <c r="AHO28" i="9" s="1"/>
  <c r="AHQ28" i="9" s="1"/>
  <c r="AHS28" i="9" s="1"/>
  <c r="AHU28" i="9" s="1"/>
  <c r="AHW28" i="9" s="1"/>
  <c r="AHY28" i="9" s="1"/>
  <c r="AIA28" i="9" s="1"/>
  <c r="AIC28" i="9" s="1"/>
  <c r="AIE28" i="9" s="1"/>
  <c r="AIG28" i="9" s="1"/>
  <c r="AII28" i="9" s="1"/>
  <c r="AIK28" i="9" s="1"/>
  <c r="AIM28" i="9" s="1"/>
  <c r="AIO28" i="9" s="1"/>
  <c r="AIQ28" i="9" s="1"/>
  <c r="AIS28" i="9" s="1"/>
  <c r="AIU28" i="9" s="1"/>
  <c r="AIW28" i="9" s="1"/>
  <c r="AIY28" i="9" s="1"/>
  <c r="AJA28" i="9" s="1"/>
  <c r="AJC28" i="9" s="1"/>
  <c r="AJE28" i="9" s="1"/>
  <c r="AJG28" i="9" s="1"/>
  <c r="AJI28" i="9" s="1"/>
  <c r="AJK28" i="9" s="1"/>
  <c r="AJM28" i="9" s="1"/>
  <c r="AJO28" i="9" s="1"/>
  <c r="AJQ28" i="9" s="1"/>
  <c r="AJS28" i="9" s="1"/>
  <c r="AJU28" i="9" s="1"/>
  <c r="AJW28" i="9" s="1"/>
  <c r="AJY28" i="9" s="1"/>
  <c r="AKA28" i="9" s="1"/>
  <c r="AKC28" i="9" s="1"/>
  <c r="AKE28" i="9" s="1"/>
  <c r="AKG28" i="9" s="1"/>
  <c r="AKI28" i="9" s="1"/>
  <c r="AKK28" i="9" s="1"/>
  <c r="AKM28" i="9" s="1"/>
  <c r="AKO28" i="9" s="1"/>
  <c r="AKQ28" i="9" s="1"/>
  <c r="AKS28" i="9" s="1"/>
  <c r="AKU28" i="9" s="1"/>
  <c r="AKW28" i="9" s="1"/>
  <c r="AKY28" i="9" s="1"/>
  <c r="ALA28" i="9" s="1"/>
  <c r="ALC28" i="9" s="1"/>
  <c r="ALE28" i="9" s="1"/>
  <c r="ALG28" i="9" s="1"/>
  <c r="ALI28" i="9" s="1"/>
  <c r="ALK28" i="9" s="1"/>
  <c r="ALM28" i="9" s="1"/>
  <c r="ALO28" i="9" s="1"/>
  <c r="ALQ28" i="9" s="1"/>
  <c r="ALS28" i="9" s="1"/>
  <c r="ALU28" i="9" s="1"/>
  <c r="ALW28" i="9" s="1"/>
  <c r="ALY28" i="9" s="1"/>
  <c r="AMA28" i="9" s="1"/>
  <c r="AMC28" i="9" s="1"/>
  <c r="AME28" i="9" s="1"/>
  <c r="AMG28" i="9" s="1"/>
  <c r="AMI28" i="9" s="1"/>
  <c r="AMK28" i="9" s="1"/>
  <c r="AMM28" i="9" s="1"/>
  <c r="AMO28" i="9" s="1"/>
  <c r="AMQ28" i="9" s="1"/>
  <c r="AMS28" i="9" s="1"/>
  <c r="AMU28" i="9" s="1"/>
  <c r="AMW28" i="9" s="1"/>
  <c r="AMY28" i="9" s="1"/>
  <c r="ANA28" i="9" s="1"/>
  <c r="ANC28" i="9" s="1"/>
  <c r="ANE28" i="9" s="1"/>
  <c r="ANG28" i="9" s="1"/>
  <c r="ANI28" i="9" s="1"/>
  <c r="ANK28" i="9" s="1"/>
  <c r="ANM28" i="9" s="1"/>
  <c r="ANO28" i="9" s="1"/>
  <c r="ANQ28" i="9" s="1"/>
  <c r="ANS28" i="9" s="1"/>
  <c r="ANU28" i="9" s="1"/>
  <c r="ANW28" i="9" s="1"/>
  <c r="ANY28" i="9" s="1"/>
  <c r="AOA28" i="9" s="1"/>
  <c r="AOC28" i="9" s="1"/>
  <c r="AOE28" i="9" s="1"/>
  <c r="AOG28" i="9" s="1"/>
  <c r="AOI28" i="9" s="1"/>
  <c r="AOK28" i="9" s="1"/>
  <c r="AOM28" i="9" s="1"/>
  <c r="AOO28" i="9" s="1"/>
  <c r="AOQ28" i="9" s="1"/>
  <c r="AOS28" i="9" s="1"/>
  <c r="AOU28" i="9" s="1"/>
  <c r="AOW28" i="9" s="1"/>
  <c r="AOY28" i="9" s="1"/>
  <c r="APA28" i="9" s="1"/>
  <c r="APC28" i="9" s="1"/>
  <c r="APE28" i="9" s="1"/>
  <c r="APG28" i="9" s="1"/>
  <c r="API28" i="9" s="1"/>
  <c r="APK28" i="9" s="1"/>
  <c r="APM28" i="9" s="1"/>
  <c r="APO28" i="9" s="1"/>
  <c r="APQ28" i="9" s="1"/>
  <c r="APS28" i="9" s="1"/>
  <c r="APU28" i="9" s="1"/>
  <c r="APW28" i="9" s="1"/>
  <c r="APY28" i="9" s="1"/>
  <c r="AQA28" i="9" s="1"/>
  <c r="AQC28" i="9" s="1"/>
  <c r="AQE28" i="9" s="1"/>
  <c r="AQG28" i="9" s="1"/>
  <c r="AQI28" i="9" s="1"/>
  <c r="AQK28" i="9" s="1"/>
  <c r="AQM28" i="9" s="1"/>
  <c r="AQO28" i="9" s="1"/>
  <c r="AQQ28" i="9" s="1"/>
  <c r="AQS28" i="9" s="1"/>
  <c r="AQU28" i="9" s="1"/>
  <c r="AQW28" i="9" s="1"/>
  <c r="AQY28" i="9" s="1"/>
  <c r="ARA28" i="9" s="1"/>
  <c r="ARC28" i="9" s="1"/>
  <c r="ARE28" i="9" s="1"/>
  <c r="ARG28" i="9" s="1"/>
  <c r="ARI28" i="9" s="1"/>
  <c r="ARK28" i="9" s="1"/>
  <c r="ARM28" i="9" s="1"/>
  <c r="ARO28" i="9" s="1"/>
  <c r="ARQ28" i="9" s="1"/>
  <c r="ARS28" i="9" s="1"/>
  <c r="ARU28" i="9" s="1"/>
  <c r="ARW28" i="9" s="1"/>
  <c r="ARY28" i="9" s="1"/>
  <c r="ASA28" i="9" s="1"/>
  <c r="ASC28" i="9" s="1"/>
  <c r="ASE28" i="9" s="1"/>
  <c r="ASG28" i="9" s="1"/>
  <c r="ASI28" i="9" s="1"/>
  <c r="ASK28" i="9" s="1"/>
  <c r="ASM28" i="9" s="1"/>
  <c r="ASO28" i="9" s="1"/>
  <c r="ASQ28" i="9" s="1"/>
  <c r="ASS28" i="9" s="1"/>
  <c r="ASU28" i="9" s="1"/>
  <c r="ASW28" i="9" s="1"/>
  <c r="ASY28" i="9" s="1"/>
  <c r="ATA28" i="9" s="1"/>
  <c r="ATC28" i="9" s="1"/>
  <c r="ATE28" i="9" s="1"/>
  <c r="ATG28" i="9" s="1"/>
  <c r="ATI28" i="9" s="1"/>
  <c r="ATK28" i="9" s="1"/>
  <c r="ATM28" i="9" s="1"/>
  <c r="ATO28" i="9" s="1"/>
  <c r="ATQ28" i="9" s="1"/>
  <c r="ATS28" i="9" s="1"/>
  <c r="ATU28" i="9" s="1"/>
  <c r="ATW28" i="9" s="1"/>
  <c r="ATY28" i="9" s="1"/>
  <c r="AUA28" i="9" s="1"/>
  <c r="AUC28" i="9" s="1"/>
  <c r="AUE28" i="9" s="1"/>
  <c r="AUG28" i="9" s="1"/>
  <c r="AUI28" i="9" s="1"/>
  <c r="AUK28" i="9" s="1"/>
  <c r="AUM28" i="9" s="1"/>
  <c r="AUO28" i="9" s="1"/>
  <c r="AUQ28" i="9" s="1"/>
  <c r="AUS28" i="9" s="1"/>
  <c r="AUU28" i="9" s="1"/>
  <c r="AUW28" i="9" s="1"/>
  <c r="AUY28" i="9" s="1"/>
  <c r="AVA28" i="9" s="1"/>
  <c r="AVC28" i="9" s="1"/>
  <c r="AVE28" i="9" s="1"/>
  <c r="AVG28" i="9" s="1"/>
  <c r="AVI28" i="9" s="1"/>
  <c r="AVK28" i="9" s="1"/>
  <c r="AVM28" i="9" s="1"/>
  <c r="AVO28" i="9" s="1"/>
  <c r="AVQ28" i="9" s="1"/>
  <c r="AVS28" i="9" s="1"/>
  <c r="AVU28" i="9" s="1"/>
  <c r="AVW28" i="9" s="1"/>
  <c r="AVY28" i="9" s="1"/>
  <c r="AWA28" i="9" s="1"/>
  <c r="AWC28" i="9" s="1"/>
  <c r="AWE28" i="9" s="1"/>
  <c r="AWG28" i="9" s="1"/>
  <c r="AWI28" i="9" s="1"/>
  <c r="AWK28" i="9" s="1"/>
  <c r="AWM28" i="9" s="1"/>
  <c r="AWO28" i="9" s="1"/>
  <c r="AWQ28" i="9" s="1"/>
  <c r="AWS28" i="9" s="1"/>
  <c r="AWU28" i="9" s="1"/>
  <c r="AWW28" i="9" s="1"/>
  <c r="AWY28" i="9" s="1"/>
  <c r="AXA28" i="9" s="1"/>
  <c r="AXC28" i="9" s="1"/>
  <c r="AXE28" i="9" s="1"/>
  <c r="AXG28" i="9" s="1"/>
  <c r="AXI28" i="9" s="1"/>
  <c r="AXK28" i="9" s="1"/>
  <c r="AXM28" i="9" s="1"/>
  <c r="AXO28" i="9" s="1"/>
  <c r="AXQ28" i="9" s="1"/>
  <c r="AXS28" i="9" s="1"/>
  <c r="AXU28" i="9" s="1"/>
  <c r="AXW28" i="9" s="1"/>
  <c r="AXY28" i="9" s="1"/>
  <c r="AYA28" i="9" s="1"/>
  <c r="AYC28" i="9" s="1"/>
  <c r="AYE28" i="9" s="1"/>
  <c r="AYG28" i="9" s="1"/>
  <c r="AYI28" i="9" s="1"/>
  <c r="AYK28" i="9" s="1"/>
  <c r="AYM28" i="9" s="1"/>
  <c r="AYO28" i="9" s="1"/>
  <c r="AYQ28" i="9" s="1"/>
  <c r="AYS28" i="9" s="1"/>
  <c r="AYU28" i="9" s="1"/>
  <c r="AYW28" i="9" s="1"/>
  <c r="AYY28" i="9" s="1"/>
  <c r="AZA28" i="9" s="1"/>
  <c r="AZC28" i="9" s="1"/>
  <c r="AZE28" i="9" s="1"/>
  <c r="AZG28" i="9" s="1"/>
  <c r="AZI28" i="9" s="1"/>
  <c r="AZK28" i="9" s="1"/>
  <c r="AZM28" i="9" s="1"/>
  <c r="AZO28" i="9" s="1"/>
  <c r="AZQ28" i="9" s="1"/>
  <c r="AZS28" i="9" s="1"/>
  <c r="AZU28" i="9" s="1"/>
  <c r="AZW28" i="9" s="1"/>
  <c r="AZY28" i="9" s="1"/>
  <c r="BAA28" i="9" s="1"/>
  <c r="BAC28" i="9" s="1"/>
  <c r="BAE28" i="9" s="1"/>
  <c r="BAG28" i="9" s="1"/>
  <c r="BAI28" i="9" s="1"/>
  <c r="BAK28" i="9" s="1"/>
  <c r="BAM28" i="9" s="1"/>
  <c r="BAO28" i="9" s="1"/>
  <c r="BAQ28" i="9" s="1"/>
  <c r="BAS28" i="9" s="1"/>
  <c r="BAU28" i="9" s="1"/>
  <c r="BAW28" i="9" s="1"/>
  <c r="BAY28" i="9" s="1"/>
  <c r="BBA28" i="9" s="1"/>
  <c r="BBC28" i="9" s="1"/>
  <c r="BBE28" i="9" s="1"/>
  <c r="BBG28" i="9" s="1"/>
  <c r="BBI28" i="9" s="1"/>
  <c r="BBK28" i="9" s="1"/>
  <c r="BBM28" i="9" s="1"/>
  <c r="BBO28" i="9" s="1"/>
  <c r="BBQ28" i="9" s="1"/>
  <c r="BBS28" i="9" s="1"/>
  <c r="BBU28" i="9" s="1"/>
  <c r="BBW28" i="9" s="1"/>
  <c r="BBY28" i="9" s="1"/>
  <c r="BCA28" i="9" s="1"/>
  <c r="BCC28" i="9" s="1"/>
  <c r="BCE28" i="9" s="1"/>
  <c r="BCG28" i="9" s="1"/>
  <c r="BCI28" i="9" s="1"/>
  <c r="BCK28" i="9" s="1"/>
  <c r="BCM28" i="9" s="1"/>
  <c r="BCO28" i="9" s="1"/>
  <c r="BCQ28" i="9" s="1"/>
  <c r="BCS28" i="9" s="1"/>
  <c r="BCU28" i="9" s="1"/>
  <c r="BCW28" i="9" s="1"/>
  <c r="BCY28" i="9" s="1"/>
  <c r="BDA28" i="9" s="1"/>
  <c r="BDC28" i="9" s="1"/>
  <c r="BDE28" i="9" s="1"/>
  <c r="BDG28" i="9" s="1"/>
  <c r="BDI28" i="9" s="1"/>
  <c r="BDK28" i="9" s="1"/>
  <c r="BDM28" i="9" s="1"/>
  <c r="BDO28" i="9" s="1"/>
  <c r="BDQ28" i="9" s="1"/>
  <c r="BDS28" i="9" s="1"/>
  <c r="BDU28" i="9" s="1"/>
  <c r="BDW28" i="9" s="1"/>
  <c r="BDY28" i="9" s="1"/>
  <c r="BEA28" i="9" s="1"/>
  <c r="BEC28" i="9" s="1"/>
  <c r="BEE28" i="9" s="1"/>
  <c r="BEG28" i="9" s="1"/>
  <c r="BEI28" i="9" s="1"/>
  <c r="BEK28" i="9" s="1"/>
  <c r="BEM28" i="9" s="1"/>
  <c r="BEO28" i="9" s="1"/>
  <c r="BEQ28" i="9" s="1"/>
  <c r="BES28" i="9" s="1"/>
  <c r="BEU28" i="9" s="1"/>
  <c r="BEW28" i="9" s="1"/>
  <c r="BEY28" i="9" s="1"/>
  <c r="BFA28" i="9" s="1"/>
  <c r="BFC28" i="9" s="1"/>
  <c r="BFE28" i="9" s="1"/>
  <c r="BFG28" i="9" s="1"/>
  <c r="BFI28" i="9" s="1"/>
  <c r="BFK28" i="9" s="1"/>
  <c r="BFM28" i="9" s="1"/>
  <c r="BFO28" i="9" s="1"/>
  <c r="BFQ28" i="9" s="1"/>
  <c r="BFS28" i="9" s="1"/>
  <c r="BFU28" i="9" s="1"/>
  <c r="BFW28" i="9" s="1"/>
  <c r="BFY28" i="9" s="1"/>
  <c r="BGA28" i="9" s="1"/>
  <c r="BGC28" i="9" s="1"/>
  <c r="BGE28" i="9" s="1"/>
  <c r="BGG28" i="9" s="1"/>
  <c r="BGI28" i="9" s="1"/>
  <c r="BGK28" i="9" s="1"/>
  <c r="BGM28" i="9" s="1"/>
  <c r="BGO28" i="9" s="1"/>
  <c r="BGQ28" i="9" s="1"/>
  <c r="BGS28" i="9" s="1"/>
  <c r="BGU28" i="9" s="1"/>
  <c r="BGW28" i="9" s="1"/>
  <c r="BGY28" i="9" s="1"/>
  <c r="BHA28" i="9" s="1"/>
  <c r="BHC28" i="9" s="1"/>
  <c r="BHE28" i="9" s="1"/>
  <c r="BHG28" i="9" s="1"/>
  <c r="BHI28" i="9" s="1"/>
  <c r="BHK28" i="9" s="1"/>
  <c r="BHM28" i="9" s="1"/>
  <c r="BHO28" i="9" s="1"/>
  <c r="BHQ28" i="9" s="1"/>
  <c r="BHS28" i="9" s="1"/>
  <c r="BHU28" i="9" s="1"/>
  <c r="BHW28" i="9" s="1"/>
  <c r="BHY28" i="9" s="1"/>
  <c r="BIA28" i="9" s="1"/>
  <c r="BIC28" i="9" s="1"/>
  <c r="BIE28" i="9" s="1"/>
  <c r="BIG28" i="9" s="1"/>
  <c r="BII28" i="9" s="1"/>
  <c r="BIK28" i="9" s="1"/>
  <c r="BIM28" i="9" s="1"/>
  <c r="BIO28" i="9" s="1"/>
  <c r="BIQ28" i="9" s="1"/>
  <c r="BIS28" i="9" s="1"/>
  <c r="BIU28" i="9" s="1"/>
  <c r="BIW28" i="9" s="1"/>
  <c r="BIY28" i="9" s="1"/>
  <c r="BJA28" i="9" s="1"/>
  <c r="BJC28" i="9" s="1"/>
  <c r="BJE28" i="9" s="1"/>
  <c r="BJG28" i="9" s="1"/>
  <c r="BJI28" i="9" s="1"/>
  <c r="BJK28" i="9" s="1"/>
  <c r="BJM28" i="9" s="1"/>
  <c r="BJO28" i="9" s="1"/>
  <c r="BJQ28" i="9" s="1"/>
  <c r="BJS28" i="9" s="1"/>
  <c r="BJU28" i="9" s="1"/>
  <c r="BJW28" i="9" s="1"/>
  <c r="BJY28" i="9" s="1"/>
  <c r="BKA28" i="9" s="1"/>
  <c r="BKC28" i="9" s="1"/>
  <c r="BKE28" i="9" s="1"/>
  <c r="BKG28" i="9" s="1"/>
  <c r="BKI28" i="9" s="1"/>
  <c r="BKK28" i="9" s="1"/>
  <c r="BKM28" i="9" s="1"/>
  <c r="BKO28" i="9" s="1"/>
  <c r="BKQ28" i="9" s="1"/>
  <c r="BKS28" i="9" s="1"/>
  <c r="BKU28" i="9" s="1"/>
  <c r="BKW28" i="9" s="1"/>
  <c r="BKY28" i="9" s="1"/>
  <c r="BLA28" i="9" s="1"/>
  <c r="BLC28" i="9" s="1"/>
  <c r="BLE28" i="9" s="1"/>
  <c r="BLG28" i="9" s="1"/>
  <c r="BLI28" i="9" s="1"/>
  <c r="BLK28" i="9" s="1"/>
  <c r="BLM28" i="9" s="1"/>
  <c r="BLO28" i="9" s="1"/>
  <c r="BLQ28" i="9" s="1"/>
  <c r="BLS28" i="9" s="1"/>
  <c r="BLU28" i="9" s="1"/>
  <c r="BLW28" i="9" s="1"/>
  <c r="BLY28" i="9" s="1"/>
  <c r="BMA28" i="9" s="1"/>
  <c r="BMC28" i="9" s="1"/>
  <c r="BME28" i="9" s="1"/>
  <c r="BMG28" i="9" s="1"/>
  <c r="BMI28" i="9" s="1"/>
  <c r="BMK28" i="9" s="1"/>
  <c r="BMM28" i="9" s="1"/>
  <c r="BMO28" i="9" s="1"/>
  <c r="BMQ28" i="9" s="1"/>
  <c r="BMS28" i="9" s="1"/>
  <c r="BMU28" i="9" s="1"/>
  <c r="BMW28" i="9" s="1"/>
  <c r="BMY28" i="9" s="1"/>
  <c r="BNA28" i="9" s="1"/>
  <c r="BNC28" i="9" s="1"/>
  <c r="BNE28" i="9" s="1"/>
  <c r="BNG28" i="9" s="1"/>
  <c r="BNI28" i="9" s="1"/>
  <c r="BNK28" i="9" s="1"/>
  <c r="BNM28" i="9" s="1"/>
  <c r="BNO28" i="9" s="1"/>
  <c r="BNQ28" i="9" s="1"/>
  <c r="BNS28" i="9" s="1"/>
  <c r="BNU28" i="9" s="1"/>
  <c r="BNW28" i="9" s="1"/>
  <c r="BNY28" i="9" s="1"/>
  <c r="BOA28" i="9" s="1"/>
  <c r="BOC28" i="9" s="1"/>
  <c r="BOE28" i="9" s="1"/>
  <c r="BOG28" i="9" s="1"/>
  <c r="BOI28" i="9" s="1"/>
  <c r="BOK28" i="9" s="1"/>
  <c r="BOM28" i="9" s="1"/>
  <c r="BOO28" i="9" s="1"/>
  <c r="BOQ28" i="9" s="1"/>
  <c r="BOS28" i="9" s="1"/>
  <c r="BOU28" i="9" s="1"/>
  <c r="BOW28" i="9" s="1"/>
  <c r="BOY28" i="9" s="1"/>
  <c r="BPA28" i="9" s="1"/>
  <c r="BPC28" i="9" s="1"/>
  <c r="BPE28" i="9" s="1"/>
  <c r="BPG28" i="9" s="1"/>
  <c r="BPI28" i="9" s="1"/>
  <c r="BPK28" i="9" s="1"/>
  <c r="BPM28" i="9" s="1"/>
  <c r="BPO28" i="9" s="1"/>
  <c r="BPQ28" i="9" s="1"/>
  <c r="BPS28" i="9" s="1"/>
  <c r="BPU28" i="9" s="1"/>
  <c r="BPW28" i="9" s="1"/>
  <c r="BPY28" i="9" s="1"/>
  <c r="BQA28" i="9" s="1"/>
  <c r="BQC28" i="9" s="1"/>
  <c r="BQE28" i="9" s="1"/>
  <c r="BQG28" i="9" s="1"/>
  <c r="BQI28" i="9" s="1"/>
  <c r="BQK28" i="9" s="1"/>
  <c r="BQM28" i="9" s="1"/>
  <c r="BQO28" i="9" s="1"/>
  <c r="BQQ28" i="9" s="1"/>
  <c r="BQS28" i="9" s="1"/>
  <c r="BQU28" i="9" s="1"/>
  <c r="BQW28" i="9" s="1"/>
  <c r="BQY28" i="9" s="1"/>
  <c r="BRA28" i="9" s="1"/>
  <c r="BRC28" i="9" s="1"/>
  <c r="BRE28" i="9" s="1"/>
  <c r="BRG28" i="9" s="1"/>
  <c r="BRI28" i="9" s="1"/>
  <c r="BRK28" i="9" s="1"/>
  <c r="BRM28" i="9" s="1"/>
  <c r="BRO28" i="9" s="1"/>
  <c r="BRQ28" i="9" s="1"/>
  <c r="BRS28" i="9" s="1"/>
  <c r="BRU28" i="9" s="1"/>
  <c r="BRW28" i="9" s="1"/>
  <c r="BRY28" i="9" s="1"/>
  <c r="BSA28" i="9" s="1"/>
  <c r="BSC28" i="9" s="1"/>
  <c r="BSE28" i="9" s="1"/>
  <c r="BSG28" i="9" s="1"/>
  <c r="BSI28" i="9" s="1"/>
  <c r="BSK28" i="9" s="1"/>
  <c r="BSM28" i="9" s="1"/>
  <c r="BSO28" i="9" s="1"/>
  <c r="BSQ28" i="9" s="1"/>
  <c r="BSS28" i="9" s="1"/>
  <c r="BSU28" i="9" s="1"/>
  <c r="BSW28" i="9" s="1"/>
  <c r="BSY28" i="9" s="1"/>
  <c r="BTA28" i="9" s="1"/>
  <c r="BTC28" i="9" s="1"/>
  <c r="BTE28" i="9" s="1"/>
  <c r="BTG28" i="9" s="1"/>
  <c r="BTI28" i="9" s="1"/>
  <c r="BTK28" i="9" s="1"/>
  <c r="BTM28" i="9" s="1"/>
  <c r="BTO28" i="9" s="1"/>
  <c r="BTQ28" i="9" s="1"/>
  <c r="BTS28" i="9" s="1"/>
  <c r="BTU28" i="9" s="1"/>
  <c r="BTW28" i="9" s="1"/>
  <c r="BTY28" i="9" s="1"/>
  <c r="BUA28" i="9" s="1"/>
  <c r="BUC28" i="9" s="1"/>
  <c r="BUE28" i="9" s="1"/>
  <c r="BUG28" i="9" s="1"/>
  <c r="BUI28" i="9" s="1"/>
  <c r="BUK28" i="9" s="1"/>
  <c r="BUM28" i="9" s="1"/>
  <c r="BUO28" i="9" s="1"/>
  <c r="BUQ28" i="9" s="1"/>
  <c r="BUS28" i="9" s="1"/>
  <c r="BUU28" i="9" s="1"/>
  <c r="BUW28" i="9" s="1"/>
  <c r="BUY28" i="9" s="1"/>
  <c r="BVA28" i="9" s="1"/>
  <c r="BVC28" i="9" s="1"/>
  <c r="BVE28" i="9" s="1"/>
  <c r="BVG28" i="9" s="1"/>
  <c r="BVI28" i="9" s="1"/>
  <c r="BVK28" i="9" s="1"/>
  <c r="BVM28" i="9" s="1"/>
  <c r="BVO28" i="9" s="1"/>
  <c r="BVQ28" i="9" s="1"/>
  <c r="BVS28" i="9" s="1"/>
  <c r="BVU28" i="9" s="1"/>
  <c r="BVW28" i="9" s="1"/>
  <c r="BVY28" i="9" s="1"/>
  <c r="BWA28" i="9" s="1"/>
  <c r="BWC28" i="9" s="1"/>
  <c r="BWE28" i="9" s="1"/>
  <c r="BWG28" i="9" s="1"/>
  <c r="BWI28" i="9" s="1"/>
  <c r="BWK28" i="9" s="1"/>
  <c r="BWM28" i="9" s="1"/>
  <c r="BWO28" i="9" s="1"/>
  <c r="BWQ28" i="9" s="1"/>
  <c r="BWS28" i="9" s="1"/>
  <c r="BWU28" i="9" s="1"/>
  <c r="BWW28" i="9" s="1"/>
  <c r="BWY28" i="9" s="1"/>
  <c r="BXA28" i="9" s="1"/>
  <c r="BXC28" i="9" s="1"/>
  <c r="BXE28" i="9" s="1"/>
  <c r="BXG28" i="9" s="1"/>
  <c r="BXI28" i="9" s="1"/>
  <c r="BXK28" i="9" s="1"/>
  <c r="BXM28" i="9" s="1"/>
  <c r="BXO28" i="9" s="1"/>
  <c r="BXQ28" i="9" s="1"/>
  <c r="BXS28" i="9" s="1"/>
  <c r="BXU28" i="9" s="1"/>
  <c r="BXW28" i="9" s="1"/>
  <c r="BXY28" i="9" s="1"/>
  <c r="BYA28" i="9" s="1"/>
  <c r="BYC28" i="9" s="1"/>
  <c r="BYE28" i="9" s="1"/>
  <c r="BYG28" i="9" s="1"/>
  <c r="BYI28" i="9" s="1"/>
  <c r="BYK28" i="9" s="1"/>
  <c r="BYM28" i="9" s="1"/>
  <c r="BYO28" i="9" s="1"/>
  <c r="BYQ28" i="9" s="1"/>
  <c r="BYS28" i="9" s="1"/>
  <c r="BYU28" i="9" s="1"/>
  <c r="BYW28" i="9" s="1"/>
  <c r="BYY28" i="9" s="1"/>
  <c r="BZA28" i="9" s="1"/>
  <c r="BZC28" i="9" s="1"/>
  <c r="BZE28" i="9" s="1"/>
  <c r="BZG28" i="9" s="1"/>
  <c r="BZI28" i="9" s="1"/>
  <c r="BZK28" i="9" s="1"/>
  <c r="BZM28" i="9" s="1"/>
  <c r="BZO28" i="9" s="1"/>
  <c r="BZQ28" i="9" s="1"/>
  <c r="BZS28" i="9" s="1"/>
  <c r="BZU28" i="9" s="1"/>
  <c r="BZW28" i="9" s="1"/>
  <c r="BZY28" i="9" s="1"/>
  <c r="CAA28" i="9" s="1"/>
  <c r="CAC28" i="9" s="1"/>
  <c r="CAE28" i="9" s="1"/>
  <c r="CAG28" i="9" s="1"/>
  <c r="CAI28" i="9" s="1"/>
  <c r="CAK28" i="9" s="1"/>
  <c r="CAM28" i="9" s="1"/>
  <c r="CAO28" i="9" s="1"/>
  <c r="CAQ28" i="9" s="1"/>
  <c r="CAS28" i="9" s="1"/>
  <c r="CAU28" i="9" s="1"/>
  <c r="CAW28" i="9" s="1"/>
  <c r="CAY28" i="9" s="1"/>
  <c r="CBA28" i="9" s="1"/>
  <c r="CBC28" i="9" s="1"/>
  <c r="CBE28" i="9" s="1"/>
  <c r="CBG28" i="9" s="1"/>
  <c r="CBI28" i="9" s="1"/>
  <c r="CBK28" i="9" s="1"/>
  <c r="CBM28" i="9" s="1"/>
  <c r="CBO28" i="9" s="1"/>
  <c r="CBQ28" i="9" s="1"/>
  <c r="CBS28" i="9" s="1"/>
  <c r="CBU28" i="9" s="1"/>
  <c r="CBW28" i="9" s="1"/>
  <c r="CBY28" i="9" s="1"/>
  <c r="CCA28" i="9" s="1"/>
  <c r="CCC28" i="9" s="1"/>
  <c r="CCE28" i="9" s="1"/>
  <c r="CCG28" i="9" s="1"/>
  <c r="CCI28" i="9" s="1"/>
  <c r="CCK28" i="9" s="1"/>
  <c r="CCM28" i="9" s="1"/>
  <c r="CCO28" i="9" s="1"/>
  <c r="CCQ28" i="9" s="1"/>
  <c r="CCS28" i="9" s="1"/>
  <c r="CCU28" i="9" s="1"/>
  <c r="CCW28" i="9" s="1"/>
  <c r="CCY28" i="9" s="1"/>
  <c r="CDA28" i="9" s="1"/>
  <c r="CDC28" i="9" s="1"/>
  <c r="CDE28" i="9" s="1"/>
  <c r="CDG28" i="9" s="1"/>
  <c r="CDI28" i="9" s="1"/>
  <c r="CDK28" i="9" s="1"/>
  <c r="CDM28" i="9" s="1"/>
  <c r="CDO28" i="9" s="1"/>
  <c r="CDQ28" i="9" s="1"/>
  <c r="CDS28" i="9" s="1"/>
  <c r="CDU28" i="9" s="1"/>
  <c r="CDW28" i="9" s="1"/>
  <c r="CDY28" i="9" s="1"/>
  <c r="CEA28" i="9" s="1"/>
  <c r="CEC28" i="9" s="1"/>
  <c r="CEE28" i="9" s="1"/>
  <c r="CEG28" i="9" s="1"/>
  <c r="CEI28" i="9" s="1"/>
  <c r="CEK28" i="9" s="1"/>
  <c r="CEM28" i="9" s="1"/>
  <c r="CEO28" i="9" s="1"/>
  <c r="CEQ28" i="9" s="1"/>
  <c r="CES28" i="9" s="1"/>
  <c r="CEU28" i="9" s="1"/>
  <c r="CEW28" i="9" s="1"/>
  <c r="CEY28" i="9" s="1"/>
  <c r="CFA28" i="9" s="1"/>
  <c r="CFC28" i="9" s="1"/>
  <c r="CFE28" i="9" s="1"/>
  <c r="CFG28" i="9" s="1"/>
  <c r="CFI28" i="9" s="1"/>
  <c r="CFK28" i="9" s="1"/>
  <c r="CFM28" i="9" s="1"/>
  <c r="CFO28" i="9" s="1"/>
  <c r="CFQ28" i="9" s="1"/>
  <c r="CFS28" i="9" s="1"/>
  <c r="CFU28" i="9" s="1"/>
  <c r="CFW28" i="9" s="1"/>
  <c r="CFY28" i="9" s="1"/>
  <c r="CGA28" i="9" s="1"/>
  <c r="CGC28" i="9" s="1"/>
  <c r="CGE28" i="9" s="1"/>
  <c r="CGG28" i="9" s="1"/>
  <c r="CGI28" i="9" s="1"/>
  <c r="CGK28" i="9" s="1"/>
  <c r="CGM28" i="9" s="1"/>
  <c r="CGO28" i="9" s="1"/>
  <c r="CGQ28" i="9" s="1"/>
  <c r="CGS28" i="9" s="1"/>
  <c r="CGU28" i="9" s="1"/>
  <c r="CGW28" i="9" s="1"/>
  <c r="CGY28" i="9" s="1"/>
  <c r="CHA28" i="9" s="1"/>
  <c r="CHC28" i="9" s="1"/>
  <c r="CHE28" i="9" s="1"/>
  <c r="CHG28" i="9" s="1"/>
  <c r="CHI28" i="9" s="1"/>
  <c r="CHK28" i="9" s="1"/>
  <c r="CHM28" i="9" s="1"/>
  <c r="CHO28" i="9" s="1"/>
  <c r="CHQ28" i="9" s="1"/>
  <c r="CHS28" i="9" s="1"/>
  <c r="CHU28" i="9" s="1"/>
  <c r="CHW28" i="9" s="1"/>
  <c r="CHY28" i="9" s="1"/>
  <c r="CIA28" i="9" s="1"/>
  <c r="CIC28" i="9" s="1"/>
  <c r="CIE28" i="9" s="1"/>
  <c r="CIG28" i="9" s="1"/>
  <c r="CII28" i="9" s="1"/>
  <c r="CIK28" i="9" s="1"/>
  <c r="CIM28" i="9" s="1"/>
  <c r="CIO28" i="9" s="1"/>
  <c r="CIQ28" i="9" s="1"/>
  <c r="CIS28" i="9" s="1"/>
  <c r="CIU28" i="9" s="1"/>
  <c r="CIW28" i="9" s="1"/>
  <c r="CIY28" i="9" s="1"/>
  <c r="CJA28" i="9" s="1"/>
  <c r="CJC28" i="9" s="1"/>
  <c r="CJE28" i="9" s="1"/>
  <c r="CJG28" i="9" s="1"/>
  <c r="CJI28" i="9" s="1"/>
  <c r="CJK28" i="9" s="1"/>
  <c r="CJM28" i="9" s="1"/>
  <c r="CJO28" i="9" s="1"/>
  <c r="CJQ28" i="9" s="1"/>
  <c r="CJS28" i="9" s="1"/>
  <c r="CJU28" i="9" s="1"/>
  <c r="CJW28" i="9" s="1"/>
  <c r="CJY28" i="9" s="1"/>
  <c r="CKA28" i="9" s="1"/>
  <c r="CKC28" i="9" s="1"/>
  <c r="CKE28" i="9" s="1"/>
  <c r="CKG28" i="9" s="1"/>
  <c r="CKI28" i="9" s="1"/>
  <c r="CKK28" i="9" s="1"/>
  <c r="CKM28" i="9" s="1"/>
  <c r="CKO28" i="9" s="1"/>
  <c r="CKQ28" i="9" s="1"/>
  <c r="CKS28" i="9" s="1"/>
  <c r="CKU28" i="9" s="1"/>
  <c r="CKW28" i="9" s="1"/>
  <c r="CKY28" i="9" s="1"/>
  <c r="CLA28" i="9" s="1"/>
  <c r="CLC28" i="9" s="1"/>
  <c r="CLE28" i="9" s="1"/>
  <c r="CLG28" i="9" s="1"/>
  <c r="CLI28" i="9" s="1"/>
  <c r="CLK28" i="9" s="1"/>
  <c r="CLM28" i="9" s="1"/>
  <c r="CLO28" i="9" s="1"/>
  <c r="CLQ28" i="9" s="1"/>
  <c r="CLS28" i="9" s="1"/>
  <c r="CLU28" i="9" s="1"/>
  <c r="CLW28" i="9" s="1"/>
  <c r="CLY28" i="9" s="1"/>
  <c r="CMA28" i="9" s="1"/>
  <c r="CMC28" i="9" s="1"/>
  <c r="CME28" i="9" s="1"/>
  <c r="CMG28" i="9" s="1"/>
  <c r="CMI28" i="9" s="1"/>
  <c r="CMK28" i="9" s="1"/>
  <c r="CMM28" i="9" s="1"/>
  <c r="CMO28" i="9" s="1"/>
  <c r="CMQ28" i="9" s="1"/>
  <c r="CMS28" i="9" s="1"/>
  <c r="CMU28" i="9" s="1"/>
  <c r="CMW28" i="9" s="1"/>
  <c r="CMY28" i="9" s="1"/>
  <c r="CNA28" i="9" s="1"/>
  <c r="CNC28" i="9" s="1"/>
  <c r="CNE28" i="9" s="1"/>
  <c r="CNG28" i="9" s="1"/>
  <c r="CNI28" i="9" s="1"/>
  <c r="CNK28" i="9" s="1"/>
  <c r="CNM28" i="9" s="1"/>
  <c r="CNO28" i="9" s="1"/>
  <c r="CNQ28" i="9" s="1"/>
  <c r="CNS28" i="9" s="1"/>
  <c r="CNU28" i="9" s="1"/>
  <c r="CNW28" i="9" s="1"/>
  <c r="CNY28" i="9" s="1"/>
  <c r="COA28" i="9" s="1"/>
  <c r="COC28" i="9" s="1"/>
  <c r="COE28" i="9" s="1"/>
  <c r="COG28" i="9" s="1"/>
  <c r="COI28" i="9" s="1"/>
  <c r="COK28" i="9" s="1"/>
  <c r="COM28" i="9" s="1"/>
  <c r="COO28" i="9" s="1"/>
  <c r="COQ28" i="9" s="1"/>
  <c r="COS28" i="9" s="1"/>
  <c r="COU28" i="9" s="1"/>
  <c r="COW28" i="9" s="1"/>
  <c r="COY28" i="9" s="1"/>
  <c r="CPA28" i="9" s="1"/>
  <c r="CPC28" i="9" s="1"/>
  <c r="CPE28" i="9" s="1"/>
  <c r="CPG28" i="9" s="1"/>
  <c r="CPI28" i="9" s="1"/>
  <c r="CPK28" i="9" s="1"/>
  <c r="CPM28" i="9" s="1"/>
  <c r="CPO28" i="9" s="1"/>
  <c r="CPQ28" i="9" s="1"/>
  <c r="CPS28" i="9" s="1"/>
  <c r="CPU28" i="9" s="1"/>
  <c r="CPW28" i="9" s="1"/>
  <c r="CPY28" i="9" s="1"/>
  <c r="CQA28" i="9" s="1"/>
  <c r="CQC28" i="9" s="1"/>
  <c r="CQE28" i="9" s="1"/>
  <c r="CQG28" i="9" s="1"/>
  <c r="CQI28" i="9" s="1"/>
  <c r="CQK28" i="9" s="1"/>
  <c r="CQM28" i="9" s="1"/>
  <c r="CQO28" i="9" s="1"/>
  <c r="CQQ28" i="9" s="1"/>
  <c r="CQS28" i="9" s="1"/>
  <c r="CQU28" i="9" s="1"/>
  <c r="CQW28" i="9" s="1"/>
  <c r="CQY28" i="9" s="1"/>
  <c r="CRA28" i="9" s="1"/>
  <c r="CRC28" i="9" s="1"/>
  <c r="CRE28" i="9" s="1"/>
  <c r="CRG28" i="9" s="1"/>
  <c r="CRI28" i="9" s="1"/>
  <c r="CRK28" i="9" s="1"/>
  <c r="CRM28" i="9" s="1"/>
  <c r="CRO28" i="9" s="1"/>
  <c r="CRQ28" i="9" s="1"/>
  <c r="CRS28" i="9" s="1"/>
  <c r="CRU28" i="9" s="1"/>
  <c r="CRW28" i="9" s="1"/>
  <c r="CRY28" i="9" s="1"/>
  <c r="CSA28" i="9" s="1"/>
  <c r="CSC28" i="9" s="1"/>
  <c r="CSE28" i="9" s="1"/>
  <c r="CSG28" i="9" s="1"/>
  <c r="CSI28" i="9" s="1"/>
  <c r="CSK28" i="9" s="1"/>
  <c r="CSM28" i="9" s="1"/>
  <c r="CSO28" i="9" s="1"/>
  <c r="CSQ28" i="9" s="1"/>
  <c r="CSS28" i="9" s="1"/>
  <c r="CSU28" i="9" s="1"/>
  <c r="CSW28" i="9" s="1"/>
  <c r="CSY28" i="9" s="1"/>
  <c r="CTA28" i="9" s="1"/>
  <c r="CTC28" i="9" s="1"/>
  <c r="CTE28" i="9" s="1"/>
  <c r="CTG28" i="9" s="1"/>
  <c r="CTI28" i="9" s="1"/>
  <c r="CTK28" i="9" s="1"/>
  <c r="CTM28" i="9" s="1"/>
  <c r="CTO28" i="9" s="1"/>
  <c r="CTQ28" i="9" s="1"/>
  <c r="CTS28" i="9" s="1"/>
  <c r="CTU28" i="9" s="1"/>
  <c r="CTW28" i="9" s="1"/>
  <c r="CTY28" i="9" s="1"/>
  <c r="CUA28" i="9" s="1"/>
  <c r="CUC28" i="9" s="1"/>
  <c r="CUE28" i="9" s="1"/>
  <c r="CUG28" i="9" s="1"/>
  <c r="CUI28" i="9" s="1"/>
  <c r="CUK28" i="9" s="1"/>
  <c r="CUM28" i="9" s="1"/>
  <c r="CUO28" i="9" s="1"/>
  <c r="CUQ28" i="9" s="1"/>
  <c r="CUS28" i="9" s="1"/>
  <c r="CUU28" i="9" s="1"/>
  <c r="CUW28" i="9" s="1"/>
  <c r="CUY28" i="9" s="1"/>
  <c r="CVA28" i="9" s="1"/>
  <c r="CVC28" i="9" s="1"/>
  <c r="CVE28" i="9" s="1"/>
  <c r="CVG28" i="9" s="1"/>
  <c r="CVI28" i="9" s="1"/>
  <c r="CVK28" i="9" s="1"/>
  <c r="CVM28" i="9" s="1"/>
  <c r="CVO28" i="9" s="1"/>
  <c r="CVQ28" i="9" s="1"/>
  <c r="CVS28" i="9" s="1"/>
  <c r="CVU28" i="9" s="1"/>
  <c r="CVW28" i="9" s="1"/>
  <c r="CVY28" i="9" s="1"/>
  <c r="CWA28" i="9" s="1"/>
  <c r="CWC28" i="9" s="1"/>
  <c r="CWE28" i="9" s="1"/>
  <c r="CWG28" i="9" s="1"/>
  <c r="CWI28" i="9" s="1"/>
  <c r="CWK28" i="9" s="1"/>
  <c r="CWM28" i="9" s="1"/>
  <c r="CWO28" i="9" s="1"/>
  <c r="CWQ28" i="9" s="1"/>
  <c r="CWS28" i="9" s="1"/>
  <c r="CWU28" i="9" s="1"/>
  <c r="CWW28" i="9" s="1"/>
  <c r="CWY28" i="9" s="1"/>
  <c r="CXA28" i="9" s="1"/>
  <c r="CXC28" i="9" s="1"/>
  <c r="CXE28" i="9" s="1"/>
  <c r="CXG28" i="9" s="1"/>
  <c r="CXI28" i="9" s="1"/>
  <c r="CXK28" i="9" s="1"/>
  <c r="CXM28" i="9" s="1"/>
  <c r="CXO28" i="9" s="1"/>
  <c r="CXQ28" i="9" s="1"/>
  <c r="CXS28" i="9" s="1"/>
  <c r="CXU28" i="9" s="1"/>
  <c r="CXW28" i="9" s="1"/>
  <c r="CXY28" i="9" s="1"/>
  <c r="CYA28" i="9" s="1"/>
  <c r="CYC28" i="9" s="1"/>
  <c r="CYE28" i="9" s="1"/>
  <c r="CYG28" i="9" s="1"/>
  <c r="CYI28" i="9" s="1"/>
  <c r="CYK28" i="9" s="1"/>
  <c r="CYM28" i="9" s="1"/>
  <c r="CYO28" i="9" s="1"/>
  <c r="CYQ28" i="9" s="1"/>
  <c r="CYS28" i="9" s="1"/>
  <c r="CYU28" i="9" s="1"/>
  <c r="CYW28" i="9" s="1"/>
  <c r="CYY28" i="9" s="1"/>
  <c r="CZA28" i="9" s="1"/>
  <c r="CZC28" i="9" s="1"/>
  <c r="CZE28" i="9" s="1"/>
  <c r="CZG28" i="9" s="1"/>
  <c r="CZI28" i="9" s="1"/>
  <c r="CZK28" i="9" s="1"/>
  <c r="CZM28" i="9" s="1"/>
  <c r="CZO28" i="9" s="1"/>
  <c r="CZQ28" i="9" s="1"/>
  <c r="CZS28" i="9" s="1"/>
  <c r="CZU28" i="9" s="1"/>
  <c r="CZW28" i="9" s="1"/>
  <c r="CZY28" i="9" s="1"/>
  <c r="DAA28" i="9" s="1"/>
  <c r="DAC28" i="9" s="1"/>
  <c r="DAE28" i="9" s="1"/>
  <c r="DAG28" i="9" s="1"/>
  <c r="DAI28" i="9" s="1"/>
  <c r="DAK28" i="9" s="1"/>
  <c r="DAM28" i="9" s="1"/>
  <c r="DAO28" i="9" s="1"/>
  <c r="DAQ28" i="9" s="1"/>
  <c r="DAS28" i="9" s="1"/>
  <c r="DAU28" i="9" s="1"/>
  <c r="DAW28" i="9" s="1"/>
  <c r="DAY28" i="9" s="1"/>
  <c r="DBA28" i="9" s="1"/>
  <c r="DBC28" i="9" s="1"/>
  <c r="DBE28" i="9" s="1"/>
  <c r="DBG28" i="9" s="1"/>
  <c r="DBI28" i="9" s="1"/>
  <c r="DBK28" i="9" s="1"/>
  <c r="DBM28" i="9" s="1"/>
  <c r="DBO28" i="9" s="1"/>
  <c r="DBQ28" i="9" s="1"/>
  <c r="DBS28" i="9" s="1"/>
  <c r="DBU28" i="9" s="1"/>
  <c r="DBW28" i="9" s="1"/>
  <c r="DBY28" i="9" s="1"/>
  <c r="DCA28" i="9" s="1"/>
  <c r="DCC28" i="9" s="1"/>
  <c r="DCE28" i="9" s="1"/>
  <c r="DCG28" i="9" s="1"/>
  <c r="DCI28" i="9" s="1"/>
  <c r="DCK28" i="9" s="1"/>
  <c r="DCM28" i="9" s="1"/>
  <c r="DCO28" i="9" s="1"/>
  <c r="DCQ28" i="9" s="1"/>
  <c r="DCS28" i="9" s="1"/>
  <c r="DCU28" i="9" s="1"/>
  <c r="DCW28" i="9" s="1"/>
  <c r="DCY28" i="9" s="1"/>
  <c r="DDA28" i="9" s="1"/>
  <c r="DDC28" i="9" s="1"/>
  <c r="DDE28" i="9" s="1"/>
  <c r="DDG28" i="9" s="1"/>
  <c r="DDI28" i="9" s="1"/>
  <c r="DDK28" i="9" s="1"/>
  <c r="DDM28" i="9" s="1"/>
  <c r="DDO28" i="9" s="1"/>
  <c r="DDQ28" i="9" s="1"/>
  <c r="DDS28" i="9" s="1"/>
  <c r="DDU28" i="9" s="1"/>
  <c r="DDW28" i="9" s="1"/>
  <c r="DDY28" i="9" s="1"/>
  <c r="DEA28" i="9" s="1"/>
  <c r="DEC28" i="9" s="1"/>
  <c r="DEE28" i="9" s="1"/>
  <c r="DEG28" i="9" s="1"/>
  <c r="DEI28" i="9" s="1"/>
  <c r="DEK28" i="9" s="1"/>
  <c r="DEM28" i="9" s="1"/>
  <c r="DEO28" i="9" s="1"/>
  <c r="DEQ28" i="9" s="1"/>
  <c r="DES28" i="9" s="1"/>
  <c r="DEU28" i="9" s="1"/>
  <c r="DEW28" i="9" s="1"/>
  <c r="DEY28" i="9" s="1"/>
  <c r="DFA28" i="9" s="1"/>
  <c r="DFC28" i="9" s="1"/>
  <c r="DFE28" i="9" s="1"/>
  <c r="DFG28" i="9" s="1"/>
  <c r="DFI28" i="9" s="1"/>
  <c r="DFK28" i="9" s="1"/>
  <c r="DFM28" i="9" s="1"/>
  <c r="DFO28" i="9" s="1"/>
  <c r="DFQ28" i="9" s="1"/>
  <c r="DFS28" i="9" s="1"/>
  <c r="DFU28" i="9" s="1"/>
  <c r="DFW28" i="9" s="1"/>
  <c r="DFY28" i="9" s="1"/>
  <c r="DGA28" i="9" s="1"/>
  <c r="DGC28" i="9" s="1"/>
  <c r="DGE28" i="9" s="1"/>
  <c r="DGG28" i="9" s="1"/>
  <c r="DGI28" i="9" s="1"/>
  <c r="DGK28" i="9" s="1"/>
  <c r="DGM28" i="9" s="1"/>
  <c r="DGO28" i="9" s="1"/>
  <c r="DGQ28" i="9" s="1"/>
  <c r="DGS28" i="9" s="1"/>
  <c r="DGU28" i="9" s="1"/>
  <c r="DGW28" i="9" s="1"/>
  <c r="DGY28" i="9" s="1"/>
  <c r="DHA28" i="9" s="1"/>
  <c r="DHC28" i="9" s="1"/>
  <c r="DHE28" i="9" s="1"/>
  <c r="DHG28" i="9" s="1"/>
  <c r="DHI28" i="9" s="1"/>
  <c r="DHK28" i="9" s="1"/>
  <c r="DHM28" i="9" s="1"/>
  <c r="DHO28" i="9" s="1"/>
  <c r="DHQ28" i="9" s="1"/>
  <c r="DHS28" i="9" s="1"/>
  <c r="DHU28" i="9" s="1"/>
  <c r="DHW28" i="9" s="1"/>
  <c r="DHY28" i="9" s="1"/>
  <c r="DIA28" i="9" s="1"/>
  <c r="DIC28" i="9" s="1"/>
  <c r="DIE28" i="9" s="1"/>
  <c r="DIG28" i="9" s="1"/>
  <c r="DII28" i="9" s="1"/>
  <c r="DIK28" i="9" s="1"/>
  <c r="DIM28" i="9" s="1"/>
  <c r="DIO28" i="9" s="1"/>
  <c r="DIQ28" i="9" s="1"/>
  <c r="DIS28" i="9" s="1"/>
  <c r="DIU28" i="9" s="1"/>
  <c r="DIW28" i="9" s="1"/>
  <c r="DIY28" i="9" s="1"/>
  <c r="DJA28" i="9" s="1"/>
  <c r="DJC28" i="9" s="1"/>
  <c r="DJE28" i="9" s="1"/>
  <c r="DJG28" i="9" s="1"/>
  <c r="DJI28" i="9" s="1"/>
  <c r="DJK28" i="9" s="1"/>
  <c r="DJM28" i="9" s="1"/>
  <c r="DJO28" i="9" s="1"/>
  <c r="DJQ28" i="9" s="1"/>
  <c r="DJS28" i="9" s="1"/>
  <c r="DJU28" i="9" s="1"/>
  <c r="DJW28" i="9" s="1"/>
  <c r="DJY28" i="9" s="1"/>
  <c r="DKA28" i="9" s="1"/>
  <c r="DKC28" i="9" s="1"/>
  <c r="DKE28" i="9" s="1"/>
  <c r="DKG28" i="9" s="1"/>
  <c r="DKI28" i="9" s="1"/>
  <c r="DKK28" i="9" s="1"/>
  <c r="DKM28" i="9" s="1"/>
  <c r="DKO28" i="9" s="1"/>
  <c r="DKQ28" i="9" s="1"/>
  <c r="DKS28" i="9" s="1"/>
  <c r="DKU28" i="9" s="1"/>
  <c r="DKW28" i="9" s="1"/>
  <c r="DKY28" i="9" s="1"/>
  <c r="DLA28" i="9" s="1"/>
  <c r="DLC28" i="9" s="1"/>
  <c r="DLE28" i="9" s="1"/>
  <c r="DLG28" i="9" s="1"/>
  <c r="DLI28" i="9" s="1"/>
  <c r="DLK28" i="9" s="1"/>
  <c r="DLM28" i="9" s="1"/>
  <c r="DLO28" i="9" s="1"/>
  <c r="DLQ28" i="9" s="1"/>
  <c r="DLS28" i="9" s="1"/>
  <c r="DLU28" i="9" s="1"/>
  <c r="DLW28" i="9" s="1"/>
  <c r="DLY28" i="9" s="1"/>
  <c r="DMA28" i="9" s="1"/>
  <c r="DMC28" i="9" s="1"/>
  <c r="DME28" i="9" s="1"/>
  <c r="DMG28" i="9" s="1"/>
  <c r="DMI28" i="9" s="1"/>
  <c r="DMK28" i="9" s="1"/>
  <c r="DMM28" i="9" s="1"/>
  <c r="DMO28" i="9" s="1"/>
  <c r="DMQ28" i="9" s="1"/>
  <c r="DMS28" i="9" s="1"/>
  <c r="DMU28" i="9" s="1"/>
  <c r="DMW28" i="9" s="1"/>
  <c r="DMY28" i="9" s="1"/>
  <c r="DNA28" i="9" s="1"/>
  <c r="DNC28" i="9" s="1"/>
  <c r="DNE28" i="9" s="1"/>
  <c r="DNG28" i="9" s="1"/>
  <c r="DNI28" i="9" s="1"/>
  <c r="DNK28" i="9" s="1"/>
  <c r="DNM28" i="9" s="1"/>
  <c r="DNO28" i="9" s="1"/>
  <c r="DNQ28" i="9" s="1"/>
  <c r="DNS28" i="9" s="1"/>
  <c r="DNU28" i="9" s="1"/>
  <c r="DNW28" i="9" s="1"/>
  <c r="DNY28" i="9" s="1"/>
  <c r="DOA28" i="9" s="1"/>
  <c r="DOC28" i="9" s="1"/>
  <c r="DOE28" i="9" s="1"/>
  <c r="DOG28" i="9" s="1"/>
  <c r="DOI28" i="9" s="1"/>
  <c r="DOK28" i="9" s="1"/>
  <c r="DOM28" i="9" s="1"/>
  <c r="DOO28" i="9" s="1"/>
  <c r="DOQ28" i="9" s="1"/>
  <c r="DOS28" i="9" s="1"/>
  <c r="DOU28" i="9" s="1"/>
  <c r="DOW28" i="9" s="1"/>
  <c r="DOY28" i="9" s="1"/>
  <c r="DPA28" i="9" s="1"/>
  <c r="DPC28" i="9" s="1"/>
  <c r="DPE28" i="9" s="1"/>
  <c r="DPG28" i="9" s="1"/>
  <c r="DPI28" i="9" s="1"/>
  <c r="DPK28" i="9" s="1"/>
  <c r="DPM28" i="9" s="1"/>
  <c r="DPO28" i="9" s="1"/>
  <c r="DPQ28" i="9" s="1"/>
  <c r="DPS28" i="9" s="1"/>
  <c r="DPU28" i="9" s="1"/>
  <c r="DPW28" i="9" s="1"/>
  <c r="DPY28" i="9" s="1"/>
  <c r="DQA28" i="9" s="1"/>
  <c r="DQC28" i="9" s="1"/>
  <c r="DQE28" i="9" s="1"/>
  <c r="DQG28" i="9" s="1"/>
  <c r="DQI28" i="9" s="1"/>
  <c r="DQK28" i="9" s="1"/>
  <c r="DQM28" i="9" s="1"/>
  <c r="DQO28" i="9" s="1"/>
  <c r="DQQ28" i="9" s="1"/>
  <c r="DQS28" i="9" s="1"/>
  <c r="DQU28" i="9" s="1"/>
  <c r="DQW28" i="9" s="1"/>
  <c r="DQY28" i="9" s="1"/>
  <c r="DRA28" i="9" s="1"/>
  <c r="DRC28" i="9" s="1"/>
  <c r="DRE28" i="9" s="1"/>
  <c r="DRG28" i="9" s="1"/>
  <c r="DRI28" i="9" s="1"/>
  <c r="DRK28" i="9" s="1"/>
  <c r="DRM28" i="9" s="1"/>
  <c r="DRO28" i="9" s="1"/>
  <c r="DRQ28" i="9" s="1"/>
  <c r="DRS28" i="9" s="1"/>
  <c r="DRU28" i="9" s="1"/>
  <c r="DRW28" i="9" s="1"/>
  <c r="DRY28" i="9" s="1"/>
  <c r="DSA28" i="9" s="1"/>
  <c r="DSC28" i="9" s="1"/>
  <c r="DSE28" i="9" s="1"/>
  <c r="DSG28" i="9" s="1"/>
  <c r="DSI28" i="9" s="1"/>
  <c r="DSK28" i="9" s="1"/>
  <c r="DSM28" i="9" s="1"/>
  <c r="DSO28" i="9" s="1"/>
  <c r="DSQ28" i="9" s="1"/>
  <c r="DSS28" i="9" s="1"/>
  <c r="DSU28" i="9" s="1"/>
  <c r="DSW28" i="9" s="1"/>
  <c r="DSY28" i="9" s="1"/>
  <c r="DTA28" i="9" s="1"/>
  <c r="DTC28" i="9" s="1"/>
  <c r="DTE28" i="9" s="1"/>
  <c r="DTG28" i="9" s="1"/>
  <c r="DTI28" i="9" s="1"/>
  <c r="DTK28" i="9" s="1"/>
  <c r="DTM28" i="9" s="1"/>
  <c r="DTO28" i="9" s="1"/>
  <c r="DTQ28" i="9" s="1"/>
  <c r="DTS28" i="9" s="1"/>
  <c r="DTU28" i="9" s="1"/>
  <c r="DTW28" i="9" s="1"/>
  <c r="DTY28" i="9" s="1"/>
  <c r="DUA28" i="9" s="1"/>
  <c r="DUC28" i="9" s="1"/>
  <c r="DUE28" i="9" s="1"/>
  <c r="DUG28" i="9" s="1"/>
  <c r="DUI28" i="9" s="1"/>
  <c r="DUK28" i="9" s="1"/>
  <c r="DUM28" i="9" s="1"/>
  <c r="DUO28" i="9" s="1"/>
  <c r="DUQ28" i="9" s="1"/>
  <c r="DUS28" i="9" s="1"/>
  <c r="DUU28" i="9" s="1"/>
  <c r="DUW28" i="9" s="1"/>
  <c r="DUY28" i="9" s="1"/>
  <c r="DVA28" i="9" s="1"/>
  <c r="DVC28" i="9" s="1"/>
  <c r="DVE28" i="9" s="1"/>
  <c r="DVG28" i="9" s="1"/>
  <c r="DVI28" i="9" s="1"/>
  <c r="DVK28" i="9" s="1"/>
  <c r="DVM28" i="9" s="1"/>
  <c r="DVO28" i="9" s="1"/>
  <c r="DVQ28" i="9" s="1"/>
  <c r="DVS28" i="9" s="1"/>
  <c r="DVU28" i="9" s="1"/>
  <c r="DVW28" i="9" s="1"/>
  <c r="DVY28" i="9" s="1"/>
  <c r="DWA28" i="9" s="1"/>
  <c r="DWC28" i="9" s="1"/>
  <c r="DWE28" i="9" s="1"/>
  <c r="DWG28" i="9" s="1"/>
  <c r="DWI28" i="9" s="1"/>
  <c r="DWK28" i="9" s="1"/>
  <c r="DWM28" i="9" s="1"/>
  <c r="DWO28" i="9" s="1"/>
  <c r="DWQ28" i="9" s="1"/>
  <c r="DWS28" i="9" s="1"/>
  <c r="DWU28" i="9" s="1"/>
  <c r="DWW28" i="9" s="1"/>
  <c r="DWY28" i="9" s="1"/>
  <c r="DXA28" i="9" s="1"/>
  <c r="DXC28" i="9" s="1"/>
  <c r="DXE28" i="9" s="1"/>
  <c r="DXG28" i="9" s="1"/>
  <c r="DXI28" i="9" s="1"/>
  <c r="DXK28" i="9" s="1"/>
  <c r="DXM28" i="9" s="1"/>
  <c r="DXO28" i="9" s="1"/>
  <c r="DXQ28" i="9" s="1"/>
  <c r="DXS28" i="9" s="1"/>
  <c r="DXU28" i="9" s="1"/>
  <c r="DXW28" i="9" s="1"/>
  <c r="DXY28" i="9" s="1"/>
  <c r="DYA28" i="9" s="1"/>
  <c r="DYC28" i="9" s="1"/>
  <c r="DYE28" i="9" s="1"/>
  <c r="DYG28" i="9" s="1"/>
  <c r="DYI28" i="9" s="1"/>
  <c r="DYK28" i="9" s="1"/>
  <c r="DYM28" i="9" s="1"/>
  <c r="DYO28" i="9" s="1"/>
  <c r="DYQ28" i="9" s="1"/>
  <c r="DYS28" i="9" s="1"/>
  <c r="DYU28" i="9" s="1"/>
  <c r="DYW28" i="9" s="1"/>
  <c r="DYY28" i="9" s="1"/>
  <c r="DZA28" i="9" s="1"/>
  <c r="DZC28" i="9" s="1"/>
  <c r="DZE28" i="9" s="1"/>
  <c r="DZG28" i="9" s="1"/>
  <c r="DZI28" i="9" s="1"/>
  <c r="DZK28" i="9" s="1"/>
  <c r="DZM28" i="9" s="1"/>
  <c r="DZO28" i="9" s="1"/>
  <c r="DZQ28" i="9" s="1"/>
  <c r="DZS28" i="9" s="1"/>
  <c r="DZU28" i="9" s="1"/>
  <c r="DZW28" i="9" s="1"/>
  <c r="DZY28" i="9" s="1"/>
  <c r="EAA28" i="9" s="1"/>
  <c r="EAC28" i="9" s="1"/>
  <c r="EAE28" i="9" s="1"/>
  <c r="EAG28" i="9" s="1"/>
  <c r="EAI28" i="9" s="1"/>
  <c r="EAK28" i="9" s="1"/>
  <c r="EAM28" i="9" s="1"/>
  <c r="EAO28" i="9" s="1"/>
  <c r="EAQ28" i="9" s="1"/>
  <c r="EAS28" i="9" s="1"/>
  <c r="EAU28" i="9" s="1"/>
  <c r="EAW28" i="9" s="1"/>
  <c r="EAY28" i="9" s="1"/>
  <c r="EBA28" i="9" s="1"/>
  <c r="EBC28" i="9" s="1"/>
  <c r="EBE28" i="9" s="1"/>
  <c r="EBG28" i="9" s="1"/>
  <c r="EBI28" i="9" s="1"/>
  <c r="EBK28" i="9" s="1"/>
  <c r="EBM28" i="9" s="1"/>
  <c r="EBO28" i="9" s="1"/>
  <c r="EBQ28" i="9" s="1"/>
  <c r="EBS28" i="9" s="1"/>
  <c r="EBU28" i="9" s="1"/>
  <c r="EBW28" i="9" s="1"/>
  <c r="EBY28" i="9" s="1"/>
  <c r="ECA28" i="9" s="1"/>
  <c r="ECC28" i="9" s="1"/>
  <c r="ECE28" i="9" s="1"/>
  <c r="ECG28" i="9" s="1"/>
  <c r="ECI28" i="9" s="1"/>
  <c r="ECK28" i="9" s="1"/>
  <c r="ECM28" i="9" s="1"/>
  <c r="ECO28" i="9" s="1"/>
  <c r="ECQ28" i="9" s="1"/>
  <c r="ECS28" i="9" s="1"/>
  <c r="ECU28" i="9" s="1"/>
  <c r="ECW28" i="9" s="1"/>
  <c r="ECY28" i="9" s="1"/>
  <c r="EDA28" i="9" s="1"/>
  <c r="EDC28" i="9" s="1"/>
  <c r="EDE28" i="9" s="1"/>
  <c r="EDG28" i="9" s="1"/>
  <c r="EDI28" i="9" s="1"/>
  <c r="EDK28" i="9" s="1"/>
  <c r="EDM28" i="9" s="1"/>
  <c r="EDO28" i="9" s="1"/>
  <c r="EDQ28" i="9" s="1"/>
  <c r="EDS28" i="9" s="1"/>
  <c r="EDU28" i="9" s="1"/>
  <c r="EDW28" i="9" s="1"/>
  <c r="EDY28" i="9" s="1"/>
  <c r="EEA28" i="9" s="1"/>
  <c r="EEC28" i="9" s="1"/>
  <c r="EEE28" i="9" s="1"/>
  <c r="EEG28" i="9" s="1"/>
  <c r="EEI28" i="9" s="1"/>
  <c r="EEK28" i="9" s="1"/>
  <c r="EEM28" i="9" s="1"/>
  <c r="EEO28" i="9" s="1"/>
  <c r="EEQ28" i="9" s="1"/>
  <c r="EES28" i="9" s="1"/>
  <c r="EEU28" i="9" s="1"/>
  <c r="EEW28" i="9" s="1"/>
  <c r="EEY28" i="9" s="1"/>
  <c r="EFA28" i="9" s="1"/>
  <c r="EFC28" i="9" s="1"/>
  <c r="EFE28" i="9" s="1"/>
  <c r="EFG28" i="9" s="1"/>
  <c r="EFI28" i="9" s="1"/>
  <c r="EFK28" i="9" s="1"/>
  <c r="EFM28" i="9" s="1"/>
  <c r="EFO28" i="9" s="1"/>
  <c r="EFQ28" i="9" s="1"/>
  <c r="EFS28" i="9" s="1"/>
  <c r="EFU28" i="9" s="1"/>
  <c r="EFW28" i="9" s="1"/>
  <c r="EFY28" i="9" s="1"/>
  <c r="EGA28" i="9" s="1"/>
  <c r="EGC28" i="9" s="1"/>
  <c r="EGE28" i="9" s="1"/>
  <c r="EGG28" i="9" s="1"/>
  <c r="EGI28" i="9" s="1"/>
  <c r="EGK28" i="9" s="1"/>
  <c r="EGM28" i="9" s="1"/>
  <c r="EGO28" i="9" s="1"/>
  <c r="EGQ28" i="9" s="1"/>
  <c r="EGS28" i="9" s="1"/>
  <c r="EGU28" i="9" s="1"/>
  <c r="EGW28" i="9" s="1"/>
  <c r="EGY28" i="9" s="1"/>
  <c r="EHA28" i="9" s="1"/>
  <c r="EHC28" i="9" s="1"/>
  <c r="EHE28" i="9" s="1"/>
  <c r="EHG28" i="9" s="1"/>
  <c r="EHI28" i="9" s="1"/>
  <c r="EHK28" i="9" s="1"/>
  <c r="EHM28" i="9" s="1"/>
  <c r="EHO28" i="9" s="1"/>
  <c r="EHQ28" i="9" s="1"/>
  <c r="EHS28" i="9" s="1"/>
  <c r="EHU28" i="9" s="1"/>
  <c r="EHW28" i="9" s="1"/>
  <c r="EHY28" i="9" s="1"/>
  <c r="EIA28" i="9" s="1"/>
  <c r="EIC28" i="9" s="1"/>
  <c r="EIE28" i="9" s="1"/>
  <c r="EIG28" i="9" s="1"/>
  <c r="EII28" i="9" s="1"/>
  <c r="EIK28" i="9" s="1"/>
  <c r="EIM28" i="9" s="1"/>
  <c r="EIO28" i="9" s="1"/>
  <c r="EIQ28" i="9" s="1"/>
  <c r="EIS28" i="9" s="1"/>
  <c r="EIU28" i="9" s="1"/>
  <c r="EIW28" i="9" s="1"/>
  <c r="EIY28" i="9" s="1"/>
  <c r="EJA28" i="9" s="1"/>
  <c r="EJC28" i="9" s="1"/>
  <c r="EJE28" i="9" s="1"/>
  <c r="EJG28" i="9" s="1"/>
  <c r="EJI28" i="9" s="1"/>
  <c r="EJK28" i="9" s="1"/>
  <c r="EJM28" i="9" s="1"/>
  <c r="EJO28" i="9" s="1"/>
  <c r="EJQ28" i="9" s="1"/>
  <c r="EJS28" i="9" s="1"/>
  <c r="EJU28" i="9" s="1"/>
  <c r="EJW28" i="9" s="1"/>
  <c r="EJY28" i="9" s="1"/>
  <c r="EKA28" i="9" s="1"/>
  <c r="EKC28" i="9" s="1"/>
  <c r="EKE28" i="9" s="1"/>
  <c r="EKG28" i="9" s="1"/>
  <c r="EKI28" i="9" s="1"/>
  <c r="EKK28" i="9" s="1"/>
  <c r="EKM28" i="9" s="1"/>
  <c r="EKO28" i="9" s="1"/>
  <c r="EKQ28" i="9" s="1"/>
  <c r="EKS28" i="9" s="1"/>
  <c r="EKU28" i="9" s="1"/>
  <c r="EKW28" i="9" s="1"/>
  <c r="EKY28" i="9" s="1"/>
  <c r="ELA28" i="9" s="1"/>
  <c r="ELC28" i="9" s="1"/>
  <c r="ELE28" i="9" s="1"/>
  <c r="ELG28" i="9" s="1"/>
  <c r="ELI28" i="9" s="1"/>
  <c r="ELK28" i="9" s="1"/>
  <c r="ELM28" i="9" s="1"/>
  <c r="ELO28" i="9" s="1"/>
  <c r="ELQ28" i="9" s="1"/>
  <c r="ELS28" i="9" s="1"/>
  <c r="ELU28" i="9" s="1"/>
  <c r="ELW28" i="9" s="1"/>
  <c r="ELY28" i="9" s="1"/>
  <c r="EMA28" i="9" s="1"/>
  <c r="EMC28" i="9" s="1"/>
  <c r="EME28" i="9" s="1"/>
  <c r="EMG28" i="9" s="1"/>
  <c r="EMI28" i="9" s="1"/>
  <c r="EMK28" i="9" s="1"/>
  <c r="EMM28" i="9" s="1"/>
  <c r="EMO28" i="9" s="1"/>
  <c r="EMQ28" i="9" s="1"/>
  <c r="EMS28" i="9" s="1"/>
  <c r="EMU28" i="9" s="1"/>
  <c r="EMW28" i="9" s="1"/>
  <c r="EMY28" i="9" s="1"/>
  <c r="ENA28" i="9" s="1"/>
  <c r="ENC28" i="9" s="1"/>
  <c r="ENE28" i="9" s="1"/>
  <c r="ENG28" i="9" s="1"/>
  <c r="ENI28" i="9" s="1"/>
  <c r="ENK28" i="9" s="1"/>
  <c r="ENM28" i="9" s="1"/>
  <c r="ENO28" i="9" s="1"/>
  <c r="ENQ28" i="9" s="1"/>
  <c r="ENS28" i="9" s="1"/>
  <c r="ENU28" i="9" s="1"/>
  <c r="ENW28" i="9" s="1"/>
  <c r="ENY28" i="9" s="1"/>
  <c r="EOA28" i="9" s="1"/>
  <c r="EOC28" i="9" s="1"/>
  <c r="EOE28" i="9" s="1"/>
  <c r="EOG28" i="9" s="1"/>
  <c r="EOI28" i="9" s="1"/>
  <c r="EOK28" i="9" s="1"/>
  <c r="EOM28" i="9" s="1"/>
  <c r="EOO28" i="9" s="1"/>
  <c r="EOQ28" i="9" s="1"/>
  <c r="EOS28" i="9" s="1"/>
  <c r="EOU28" i="9" s="1"/>
  <c r="EOW28" i="9" s="1"/>
  <c r="EOY28" i="9" s="1"/>
  <c r="EPA28" i="9" s="1"/>
  <c r="EPC28" i="9" s="1"/>
  <c r="EPE28" i="9" s="1"/>
  <c r="EPG28" i="9" s="1"/>
  <c r="EPI28" i="9" s="1"/>
  <c r="EPK28" i="9" s="1"/>
  <c r="EPM28" i="9" s="1"/>
  <c r="EPO28" i="9" s="1"/>
  <c r="EPQ28" i="9" s="1"/>
  <c r="EPS28" i="9" s="1"/>
  <c r="EPU28" i="9" s="1"/>
  <c r="EPW28" i="9" s="1"/>
  <c r="EPY28" i="9" s="1"/>
  <c r="EQA28" i="9" s="1"/>
  <c r="EQC28" i="9" s="1"/>
  <c r="EQE28" i="9" s="1"/>
  <c r="EQG28" i="9" s="1"/>
  <c r="EQI28" i="9" s="1"/>
  <c r="EQK28" i="9" s="1"/>
  <c r="EQM28" i="9" s="1"/>
  <c r="EQO28" i="9" s="1"/>
  <c r="EQQ28" i="9" s="1"/>
  <c r="EQS28" i="9" s="1"/>
  <c r="EQU28" i="9" s="1"/>
  <c r="EQW28" i="9" s="1"/>
  <c r="EQY28" i="9" s="1"/>
  <c r="ERA28" i="9" s="1"/>
  <c r="ERC28" i="9" s="1"/>
  <c r="ERE28" i="9" s="1"/>
  <c r="ERG28" i="9" s="1"/>
  <c r="ERI28" i="9" s="1"/>
  <c r="ERK28" i="9" s="1"/>
  <c r="ERM28" i="9" s="1"/>
  <c r="ERO28" i="9" s="1"/>
  <c r="ERQ28" i="9" s="1"/>
  <c r="ERS28" i="9" s="1"/>
  <c r="ERU28" i="9" s="1"/>
  <c r="ERW28" i="9" s="1"/>
  <c r="ERY28" i="9" s="1"/>
  <c r="ESA28" i="9" s="1"/>
  <c r="ESC28" i="9" s="1"/>
  <c r="ESE28" i="9" s="1"/>
  <c r="ESG28" i="9" s="1"/>
  <c r="ESI28" i="9" s="1"/>
  <c r="ESK28" i="9" s="1"/>
  <c r="ESM28" i="9" s="1"/>
  <c r="ESO28" i="9" s="1"/>
  <c r="ESQ28" i="9" s="1"/>
  <c r="ESS28" i="9" s="1"/>
  <c r="ESU28" i="9" s="1"/>
  <c r="ESW28" i="9" s="1"/>
  <c r="ESY28" i="9" s="1"/>
  <c r="ETA28" i="9" s="1"/>
  <c r="ETC28" i="9" s="1"/>
  <c r="ETE28" i="9" s="1"/>
  <c r="ETG28" i="9" s="1"/>
  <c r="ETI28" i="9" s="1"/>
  <c r="ETK28" i="9" s="1"/>
  <c r="ETM28" i="9" s="1"/>
  <c r="ETO28" i="9" s="1"/>
  <c r="ETQ28" i="9" s="1"/>
  <c r="ETS28" i="9" s="1"/>
  <c r="ETU28" i="9" s="1"/>
  <c r="ETW28" i="9" s="1"/>
  <c r="ETY28" i="9" s="1"/>
  <c r="EUA28" i="9" s="1"/>
  <c r="EUC28" i="9" s="1"/>
  <c r="EUE28" i="9" s="1"/>
  <c r="EUG28" i="9" s="1"/>
  <c r="EUI28" i="9" s="1"/>
  <c r="EUK28" i="9" s="1"/>
  <c r="EUM28" i="9" s="1"/>
  <c r="EUO28" i="9" s="1"/>
  <c r="EUQ28" i="9" s="1"/>
  <c r="EUS28" i="9" s="1"/>
  <c r="EUU28" i="9" s="1"/>
  <c r="EUW28" i="9" s="1"/>
  <c r="EUY28" i="9" s="1"/>
  <c r="EVA28" i="9" s="1"/>
  <c r="EVC28" i="9" s="1"/>
  <c r="EVE28" i="9" s="1"/>
  <c r="EVG28" i="9" s="1"/>
  <c r="EVI28" i="9" s="1"/>
  <c r="EVK28" i="9" s="1"/>
  <c r="EVM28" i="9" s="1"/>
  <c r="EVO28" i="9" s="1"/>
  <c r="EVQ28" i="9" s="1"/>
  <c r="EVS28" i="9" s="1"/>
  <c r="EVU28" i="9" s="1"/>
  <c r="EVW28" i="9" s="1"/>
  <c r="EVY28" i="9" s="1"/>
  <c r="EWA28" i="9" s="1"/>
  <c r="EWC28" i="9" s="1"/>
  <c r="EWE28" i="9" s="1"/>
  <c r="EWG28" i="9" s="1"/>
  <c r="EWI28" i="9" s="1"/>
  <c r="EWK28" i="9" s="1"/>
  <c r="EWM28" i="9" s="1"/>
  <c r="EWO28" i="9" s="1"/>
  <c r="EWQ28" i="9" s="1"/>
  <c r="EWS28" i="9" s="1"/>
  <c r="EWU28" i="9" s="1"/>
  <c r="EWW28" i="9" s="1"/>
  <c r="EWY28" i="9" s="1"/>
  <c r="EXA28" i="9" s="1"/>
  <c r="EXC28" i="9" s="1"/>
  <c r="EXE28" i="9" s="1"/>
  <c r="EXG28" i="9" s="1"/>
  <c r="EXI28" i="9" s="1"/>
  <c r="EXK28" i="9" s="1"/>
  <c r="EXM28" i="9" s="1"/>
  <c r="EXO28" i="9" s="1"/>
  <c r="EXQ28" i="9" s="1"/>
  <c r="EXS28" i="9" s="1"/>
  <c r="EXU28" i="9" s="1"/>
  <c r="EXW28" i="9" s="1"/>
  <c r="EXY28" i="9" s="1"/>
  <c r="EYA28" i="9" s="1"/>
  <c r="EYC28" i="9" s="1"/>
  <c r="EYE28" i="9" s="1"/>
  <c r="EYG28" i="9" s="1"/>
  <c r="EYI28" i="9" s="1"/>
  <c r="EYK28" i="9" s="1"/>
  <c r="EYM28" i="9" s="1"/>
  <c r="EYO28" i="9" s="1"/>
  <c r="EYQ28" i="9" s="1"/>
  <c r="EYS28" i="9" s="1"/>
  <c r="EYU28" i="9" s="1"/>
  <c r="EYW28" i="9" s="1"/>
  <c r="EYY28" i="9" s="1"/>
  <c r="EZA28" i="9" s="1"/>
  <c r="EZC28" i="9" s="1"/>
  <c r="EZE28" i="9" s="1"/>
  <c r="EZG28" i="9" s="1"/>
  <c r="EZI28" i="9" s="1"/>
  <c r="EZK28" i="9" s="1"/>
  <c r="EZM28" i="9" s="1"/>
  <c r="EZO28" i="9" s="1"/>
  <c r="EZQ28" i="9" s="1"/>
  <c r="EZS28" i="9" s="1"/>
  <c r="EZU28" i="9" s="1"/>
  <c r="EZW28" i="9" s="1"/>
  <c r="EZY28" i="9" s="1"/>
  <c r="FAA28" i="9" s="1"/>
  <c r="FAC28" i="9" s="1"/>
  <c r="FAE28" i="9" s="1"/>
  <c r="FAG28" i="9" s="1"/>
  <c r="FAI28" i="9" s="1"/>
  <c r="FAK28" i="9" s="1"/>
  <c r="FAM28" i="9" s="1"/>
  <c r="FAO28" i="9" s="1"/>
  <c r="FAQ28" i="9" s="1"/>
  <c r="FAS28" i="9" s="1"/>
  <c r="FAU28" i="9" s="1"/>
  <c r="FAW28" i="9" s="1"/>
  <c r="FAY28" i="9" s="1"/>
  <c r="FBA28" i="9" s="1"/>
  <c r="FBC28" i="9" s="1"/>
  <c r="FBE28" i="9" s="1"/>
  <c r="FBG28" i="9" s="1"/>
  <c r="FBI28" i="9" s="1"/>
  <c r="FBK28" i="9" s="1"/>
  <c r="FBM28" i="9" s="1"/>
  <c r="FBO28" i="9" s="1"/>
  <c r="FBQ28" i="9" s="1"/>
  <c r="FBS28" i="9" s="1"/>
  <c r="FBU28" i="9" s="1"/>
  <c r="FBW28" i="9" s="1"/>
  <c r="FBY28" i="9" s="1"/>
  <c r="FCA28" i="9" s="1"/>
  <c r="FCC28" i="9" s="1"/>
  <c r="FCE28" i="9" s="1"/>
  <c r="FCG28" i="9" s="1"/>
  <c r="FCI28" i="9" s="1"/>
  <c r="FCK28" i="9" s="1"/>
  <c r="FCM28" i="9" s="1"/>
  <c r="FCO28" i="9" s="1"/>
  <c r="FCQ28" i="9" s="1"/>
  <c r="FCS28" i="9" s="1"/>
  <c r="FCU28" i="9" s="1"/>
  <c r="FCW28" i="9" s="1"/>
  <c r="FCY28" i="9" s="1"/>
  <c r="FDA28" i="9" s="1"/>
  <c r="FDC28" i="9" s="1"/>
  <c r="FDE28" i="9" s="1"/>
  <c r="FDG28" i="9" s="1"/>
  <c r="FDI28" i="9" s="1"/>
  <c r="FDK28" i="9" s="1"/>
  <c r="FDM28" i="9" s="1"/>
  <c r="FDO28" i="9" s="1"/>
  <c r="FDQ28" i="9" s="1"/>
  <c r="FDS28" i="9" s="1"/>
  <c r="FDU28" i="9" s="1"/>
  <c r="FDW28" i="9" s="1"/>
  <c r="FDY28" i="9" s="1"/>
  <c r="FEA28" i="9" s="1"/>
  <c r="FEC28" i="9" s="1"/>
  <c r="FEE28" i="9" s="1"/>
  <c r="FEG28" i="9" s="1"/>
  <c r="FEI28" i="9" s="1"/>
  <c r="FEK28" i="9" s="1"/>
  <c r="FEM28" i="9" s="1"/>
  <c r="FEO28" i="9" s="1"/>
  <c r="FEQ28" i="9" s="1"/>
  <c r="FES28" i="9" s="1"/>
  <c r="FEU28" i="9" s="1"/>
  <c r="FEW28" i="9" s="1"/>
  <c r="FEY28" i="9" s="1"/>
  <c r="FFA28" i="9" s="1"/>
  <c r="FFC28" i="9" s="1"/>
  <c r="FFE28" i="9" s="1"/>
  <c r="FFG28" i="9" s="1"/>
  <c r="FFI28" i="9" s="1"/>
  <c r="FFK28" i="9" s="1"/>
  <c r="FFM28" i="9" s="1"/>
  <c r="FFO28" i="9" s="1"/>
  <c r="FFQ28" i="9" s="1"/>
  <c r="FFS28" i="9" s="1"/>
  <c r="FFU28" i="9" s="1"/>
  <c r="FFW28" i="9" s="1"/>
  <c r="FFY28" i="9" s="1"/>
  <c r="FGA28" i="9" s="1"/>
  <c r="FGC28" i="9" s="1"/>
  <c r="FGE28" i="9" s="1"/>
  <c r="FGG28" i="9" s="1"/>
  <c r="FGI28" i="9" s="1"/>
  <c r="FGK28" i="9" s="1"/>
  <c r="FGM28" i="9" s="1"/>
  <c r="FGO28" i="9" s="1"/>
  <c r="FGQ28" i="9" s="1"/>
  <c r="FGS28" i="9" s="1"/>
  <c r="FGU28" i="9" s="1"/>
  <c r="FGW28" i="9" s="1"/>
  <c r="FGY28" i="9" s="1"/>
  <c r="FHA28" i="9" s="1"/>
  <c r="FHC28" i="9" s="1"/>
  <c r="FHE28" i="9" s="1"/>
  <c r="FHG28" i="9" s="1"/>
  <c r="FHI28" i="9" s="1"/>
  <c r="FHK28" i="9" s="1"/>
  <c r="FHM28" i="9" s="1"/>
  <c r="FHO28" i="9" s="1"/>
  <c r="FHQ28" i="9" s="1"/>
  <c r="FHS28" i="9" s="1"/>
  <c r="FHU28" i="9" s="1"/>
  <c r="FHW28" i="9" s="1"/>
  <c r="FHY28" i="9" s="1"/>
  <c r="FIA28" i="9" s="1"/>
  <c r="FIC28" i="9" s="1"/>
  <c r="FIE28" i="9" s="1"/>
  <c r="FIG28" i="9" s="1"/>
  <c r="FII28" i="9" s="1"/>
  <c r="FIK28" i="9" s="1"/>
  <c r="FIM28" i="9" s="1"/>
  <c r="FIO28" i="9" s="1"/>
  <c r="FIQ28" i="9" s="1"/>
  <c r="FIS28" i="9" s="1"/>
  <c r="FIU28" i="9" s="1"/>
  <c r="FIW28" i="9" s="1"/>
  <c r="FIY28" i="9" s="1"/>
  <c r="FJA28" i="9" s="1"/>
  <c r="FJC28" i="9" s="1"/>
  <c r="FJE28" i="9" s="1"/>
  <c r="FJG28" i="9" s="1"/>
  <c r="FJI28" i="9" s="1"/>
  <c r="FJK28" i="9" s="1"/>
  <c r="FJM28" i="9" s="1"/>
  <c r="FJO28" i="9" s="1"/>
  <c r="FJQ28" i="9" s="1"/>
  <c r="FJS28" i="9" s="1"/>
  <c r="FJU28" i="9" s="1"/>
  <c r="FJW28" i="9" s="1"/>
  <c r="FJY28" i="9" s="1"/>
  <c r="FKA28" i="9" s="1"/>
  <c r="FKC28" i="9" s="1"/>
  <c r="FKE28" i="9" s="1"/>
  <c r="FKG28" i="9" s="1"/>
  <c r="FKI28" i="9" s="1"/>
  <c r="FKK28" i="9" s="1"/>
  <c r="FKM28" i="9" s="1"/>
  <c r="FKO28" i="9" s="1"/>
  <c r="FKQ28" i="9" s="1"/>
  <c r="FKS28" i="9" s="1"/>
  <c r="FKU28" i="9" s="1"/>
  <c r="FKW28" i="9" s="1"/>
  <c r="FKY28" i="9" s="1"/>
  <c r="FLA28" i="9" s="1"/>
  <c r="FLC28" i="9" s="1"/>
  <c r="FLE28" i="9" s="1"/>
  <c r="FLG28" i="9" s="1"/>
  <c r="FLI28" i="9" s="1"/>
  <c r="FLK28" i="9" s="1"/>
  <c r="FLM28" i="9" s="1"/>
  <c r="FLO28" i="9" s="1"/>
  <c r="FLQ28" i="9" s="1"/>
  <c r="FLS28" i="9" s="1"/>
  <c r="FLU28" i="9" s="1"/>
  <c r="FLW28" i="9" s="1"/>
  <c r="FLY28" i="9" s="1"/>
  <c r="FMA28" i="9" s="1"/>
  <c r="FMC28" i="9" s="1"/>
  <c r="FME28" i="9" s="1"/>
  <c r="FMG28" i="9" s="1"/>
  <c r="FMI28" i="9" s="1"/>
  <c r="FMK28" i="9" s="1"/>
  <c r="FMM28" i="9" s="1"/>
  <c r="FMO28" i="9" s="1"/>
  <c r="FMQ28" i="9" s="1"/>
  <c r="FMS28" i="9" s="1"/>
  <c r="FMU28" i="9" s="1"/>
  <c r="FMW28" i="9" s="1"/>
  <c r="FMY28" i="9" s="1"/>
  <c r="FNA28" i="9" s="1"/>
  <c r="FNC28" i="9" s="1"/>
  <c r="FNE28" i="9" s="1"/>
  <c r="FNG28" i="9" s="1"/>
  <c r="FNI28" i="9" s="1"/>
  <c r="FNK28" i="9" s="1"/>
  <c r="FNM28" i="9" s="1"/>
  <c r="FNO28" i="9" s="1"/>
  <c r="FNQ28" i="9" s="1"/>
  <c r="FNS28" i="9" s="1"/>
  <c r="FNU28" i="9" s="1"/>
  <c r="FNW28" i="9" s="1"/>
  <c r="FNY28" i="9" s="1"/>
  <c r="FOA28" i="9" s="1"/>
  <c r="FOC28" i="9" s="1"/>
  <c r="FOE28" i="9" s="1"/>
  <c r="FOG28" i="9" s="1"/>
  <c r="FOI28" i="9" s="1"/>
  <c r="FOK28" i="9" s="1"/>
  <c r="FOM28" i="9" s="1"/>
  <c r="FOO28" i="9" s="1"/>
  <c r="FOQ28" i="9" s="1"/>
  <c r="FOS28" i="9" s="1"/>
  <c r="FOU28" i="9" s="1"/>
  <c r="FOW28" i="9" s="1"/>
  <c r="FOY28" i="9" s="1"/>
  <c r="FPA28" i="9" s="1"/>
  <c r="FPC28" i="9" s="1"/>
  <c r="FPE28" i="9" s="1"/>
  <c r="FPG28" i="9" s="1"/>
  <c r="FPI28" i="9" s="1"/>
  <c r="FPK28" i="9" s="1"/>
  <c r="FPM28" i="9" s="1"/>
  <c r="FPO28" i="9" s="1"/>
  <c r="FPQ28" i="9" s="1"/>
  <c r="FPS28" i="9" s="1"/>
  <c r="FPU28" i="9" s="1"/>
  <c r="FPW28" i="9" s="1"/>
  <c r="FPY28" i="9" s="1"/>
  <c r="FQA28" i="9" s="1"/>
  <c r="FQC28" i="9" s="1"/>
  <c r="FQE28" i="9" s="1"/>
  <c r="FQG28" i="9" s="1"/>
  <c r="FQI28" i="9" s="1"/>
  <c r="FQK28" i="9" s="1"/>
  <c r="FQM28" i="9" s="1"/>
  <c r="FQO28" i="9" s="1"/>
  <c r="FQQ28" i="9" s="1"/>
  <c r="FQS28" i="9" s="1"/>
  <c r="FQU28" i="9" s="1"/>
  <c r="FQW28" i="9" s="1"/>
  <c r="FQY28" i="9" s="1"/>
  <c r="FRA28" i="9" s="1"/>
  <c r="FRC28" i="9" s="1"/>
  <c r="FRE28" i="9" s="1"/>
  <c r="FRG28" i="9" s="1"/>
  <c r="FRI28" i="9" s="1"/>
  <c r="FRK28" i="9" s="1"/>
  <c r="FRM28" i="9" s="1"/>
  <c r="FRO28" i="9" s="1"/>
  <c r="FRQ28" i="9" s="1"/>
  <c r="FRS28" i="9" s="1"/>
  <c r="FRU28" i="9" s="1"/>
  <c r="FRW28" i="9" s="1"/>
  <c r="FRY28" i="9" s="1"/>
  <c r="FSA28" i="9" s="1"/>
  <c r="FSC28" i="9" s="1"/>
  <c r="FSE28" i="9" s="1"/>
  <c r="FSG28" i="9" s="1"/>
  <c r="FSI28" i="9" s="1"/>
  <c r="FSK28" i="9" s="1"/>
  <c r="FSM28" i="9" s="1"/>
  <c r="FSO28" i="9" s="1"/>
  <c r="FSQ28" i="9" s="1"/>
  <c r="FSS28" i="9" s="1"/>
  <c r="FSU28" i="9" s="1"/>
  <c r="FSW28" i="9" s="1"/>
  <c r="FSY28" i="9" s="1"/>
  <c r="FTA28" i="9" s="1"/>
  <c r="FTC28" i="9" s="1"/>
  <c r="FTE28" i="9" s="1"/>
  <c r="FTG28" i="9" s="1"/>
  <c r="FTI28" i="9" s="1"/>
  <c r="FTK28" i="9" s="1"/>
  <c r="FTM28" i="9" s="1"/>
  <c r="FTO28" i="9" s="1"/>
  <c r="FTQ28" i="9" s="1"/>
  <c r="FTS28" i="9" s="1"/>
  <c r="FTU28" i="9" s="1"/>
  <c r="FTW28" i="9" s="1"/>
  <c r="FTY28" i="9" s="1"/>
  <c r="FUA28" i="9" s="1"/>
  <c r="FUC28" i="9" s="1"/>
  <c r="FUE28" i="9" s="1"/>
  <c r="FUG28" i="9" s="1"/>
  <c r="FUI28" i="9" s="1"/>
  <c r="FUK28" i="9" s="1"/>
  <c r="FUM28" i="9" s="1"/>
  <c r="FUO28" i="9" s="1"/>
  <c r="FUQ28" i="9" s="1"/>
  <c r="FUS28" i="9" s="1"/>
  <c r="FUU28" i="9" s="1"/>
  <c r="FUW28" i="9" s="1"/>
  <c r="FUY28" i="9" s="1"/>
  <c r="FVA28" i="9" s="1"/>
  <c r="FVC28" i="9" s="1"/>
  <c r="FVE28" i="9" s="1"/>
  <c r="FVG28" i="9" s="1"/>
  <c r="FVI28" i="9" s="1"/>
  <c r="FVK28" i="9" s="1"/>
  <c r="FVM28" i="9" s="1"/>
  <c r="FVO28" i="9" s="1"/>
  <c r="FVQ28" i="9" s="1"/>
  <c r="FVS28" i="9" s="1"/>
  <c r="FVU28" i="9" s="1"/>
  <c r="FVW28" i="9" s="1"/>
  <c r="FVY28" i="9" s="1"/>
  <c r="FWA28" i="9" s="1"/>
  <c r="FWC28" i="9" s="1"/>
  <c r="FWE28" i="9" s="1"/>
  <c r="FWG28" i="9" s="1"/>
  <c r="FWI28" i="9" s="1"/>
  <c r="FWK28" i="9" s="1"/>
  <c r="FWM28" i="9" s="1"/>
  <c r="FWO28" i="9" s="1"/>
  <c r="FWQ28" i="9" s="1"/>
  <c r="FWS28" i="9" s="1"/>
  <c r="FWU28" i="9" s="1"/>
  <c r="FWW28" i="9" s="1"/>
  <c r="FWY28" i="9" s="1"/>
  <c r="FXA28" i="9" s="1"/>
  <c r="FXC28" i="9" s="1"/>
  <c r="FXE28" i="9" s="1"/>
  <c r="FXG28" i="9" s="1"/>
  <c r="FXI28" i="9" s="1"/>
  <c r="FXK28" i="9" s="1"/>
  <c r="FXM28" i="9" s="1"/>
  <c r="FXO28" i="9" s="1"/>
  <c r="FXQ28" i="9" s="1"/>
  <c r="FXS28" i="9" s="1"/>
  <c r="FXU28" i="9" s="1"/>
  <c r="FXW28" i="9" s="1"/>
  <c r="FXY28" i="9" s="1"/>
  <c r="FYA28" i="9" s="1"/>
  <c r="FYC28" i="9" s="1"/>
  <c r="FYE28" i="9" s="1"/>
  <c r="FYG28" i="9" s="1"/>
  <c r="FYI28" i="9" s="1"/>
  <c r="FYK28" i="9" s="1"/>
  <c r="FYM28" i="9" s="1"/>
  <c r="FYO28" i="9" s="1"/>
  <c r="FYQ28" i="9" s="1"/>
  <c r="FYS28" i="9" s="1"/>
  <c r="FYU28" i="9" s="1"/>
  <c r="FYW28" i="9" s="1"/>
  <c r="FYY28" i="9" s="1"/>
  <c r="FZA28" i="9" s="1"/>
  <c r="FZC28" i="9" s="1"/>
  <c r="FZE28" i="9" s="1"/>
  <c r="FZG28" i="9" s="1"/>
  <c r="FZI28" i="9" s="1"/>
  <c r="FZK28" i="9" s="1"/>
  <c r="FZM28" i="9" s="1"/>
  <c r="FZO28" i="9" s="1"/>
  <c r="FZQ28" i="9" s="1"/>
  <c r="FZS28" i="9" s="1"/>
  <c r="FZU28" i="9" s="1"/>
  <c r="FZW28" i="9" s="1"/>
  <c r="FZY28" i="9" s="1"/>
  <c r="GAA28" i="9" s="1"/>
  <c r="GAC28" i="9" s="1"/>
  <c r="GAE28" i="9" s="1"/>
  <c r="GAG28" i="9" s="1"/>
  <c r="GAI28" i="9" s="1"/>
  <c r="GAK28" i="9" s="1"/>
  <c r="GAM28" i="9" s="1"/>
  <c r="GAO28" i="9" s="1"/>
  <c r="GAQ28" i="9" s="1"/>
  <c r="GAS28" i="9" s="1"/>
  <c r="GAU28" i="9" s="1"/>
  <c r="GAW28" i="9" s="1"/>
  <c r="GAY28" i="9" s="1"/>
  <c r="GBA28" i="9" s="1"/>
  <c r="GBC28" i="9" s="1"/>
  <c r="GBE28" i="9" s="1"/>
  <c r="GBG28" i="9" s="1"/>
  <c r="GBI28" i="9" s="1"/>
  <c r="GBK28" i="9" s="1"/>
  <c r="GBM28" i="9" s="1"/>
  <c r="GBO28" i="9" s="1"/>
  <c r="GBQ28" i="9" s="1"/>
  <c r="GBS28" i="9" s="1"/>
  <c r="GBU28" i="9" s="1"/>
  <c r="GBW28" i="9" s="1"/>
  <c r="GBY28" i="9" s="1"/>
  <c r="GCA28" i="9" s="1"/>
  <c r="GCC28" i="9" s="1"/>
  <c r="GCE28" i="9" s="1"/>
  <c r="GCG28" i="9" s="1"/>
  <c r="GCI28" i="9" s="1"/>
  <c r="GCK28" i="9" s="1"/>
  <c r="GCM28" i="9" s="1"/>
  <c r="GCO28" i="9" s="1"/>
  <c r="GCQ28" i="9" s="1"/>
  <c r="GCS28" i="9" s="1"/>
  <c r="GCU28" i="9" s="1"/>
  <c r="GCW28" i="9" s="1"/>
  <c r="GCY28" i="9" s="1"/>
  <c r="GDA28" i="9" s="1"/>
  <c r="GDC28" i="9" s="1"/>
  <c r="GDE28" i="9" s="1"/>
  <c r="GDG28" i="9" s="1"/>
  <c r="GDI28" i="9" s="1"/>
  <c r="GDK28" i="9" s="1"/>
  <c r="GDM28" i="9" s="1"/>
  <c r="GDO28" i="9" s="1"/>
  <c r="GDQ28" i="9" s="1"/>
  <c r="GDS28" i="9" s="1"/>
  <c r="GDU28" i="9" s="1"/>
  <c r="GDW28" i="9" s="1"/>
  <c r="GDY28" i="9" s="1"/>
  <c r="GEA28" i="9" s="1"/>
  <c r="GEC28" i="9" s="1"/>
  <c r="GEE28" i="9" s="1"/>
  <c r="GEG28" i="9" s="1"/>
  <c r="GEI28" i="9" s="1"/>
  <c r="GEK28" i="9" s="1"/>
  <c r="GEM28" i="9" s="1"/>
  <c r="GEO28" i="9" s="1"/>
  <c r="GEQ28" i="9" s="1"/>
  <c r="GES28" i="9" s="1"/>
  <c r="GEU28" i="9" s="1"/>
  <c r="GEW28" i="9" s="1"/>
  <c r="GEY28" i="9" s="1"/>
  <c r="GFA28" i="9" s="1"/>
  <c r="GFC28" i="9" s="1"/>
  <c r="GFE28" i="9" s="1"/>
  <c r="GFG28" i="9" s="1"/>
  <c r="GFI28" i="9" s="1"/>
  <c r="GFK28" i="9" s="1"/>
  <c r="GFM28" i="9" s="1"/>
  <c r="GFO28" i="9" s="1"/>
  <c r="GFQ28" i="9" s="1"/>
  <c r="GFS28" i="9" s="1"/>
  <c r="GFU28" i="9" s="1"/>
  <c r="GFW28" i="9" s="1"/>
  <c r="GFY28" i="9" s="1"/>
  <c r="GGA28" i="9" s="1"/>
  <c r="GGC28" i="9" s="1"/>
  <c r="GGE28" i="9" s="1"/>
  <c r="GGG28" i="9" s="1"/>
  <c r="GGI28" i="9" s="1"/>
  <c r="GGK28" i="9" s="1"/>
  <c r="GGM28" i="9" s="1"/>
  <c r="GGO28" i="9" s="1"/>
  <c r="GGQ28" i="9" s="1"/>
  <c r="GGS28" i="9" s="1"/>
  <c r="GGU28" i="9" s="1"/>
  <c r="GGW28" i="9" s="1"/>
  <c r="GGY28" i="9" s="1"/>
  <c r="GHA28" i="9" s="1"/>
  <c r="GHC28" i="9" s="1"/>
  <c r="GHE28" i="9" s="1"/>
  <c r="GHG28" i="9" s="1"/>
  <c r="GHI28" i="9" s="1"/>
  <c r="GHK28" i="9" s="1"/>
  <c r="GHM28" i="9" s="1"/>
  <c r="GHO28" i="9" s="1"/>
  <c r="GHQ28" i="9" s="1"/>
  <c r="GHS28" i="9" s="1"/>
  <c r="GHU28" i="9" s="1"/>
  <c r="GHW28" i="9" s="1"/>
  <c r="GHY28" i="9" s="1"/>
  <c r="GIA28" i="9" s="1"/>
  <c r="GIC28" i="9" s="1"/>
  <c r="GIE28" i="9" s="1"/>
  <c r="GIG28" i="9" s="1"/>
  <c r="GII28" i="9" s="1"/>
  <c r="GIK28" i="9" s="1"/>
  <c r="GIM28" i="9" s="1"/>
  <c r="GIO28" i="9" s="1"/>
  <c r="GIQ28" i="9" s="1"/>
  <c r="GIS28" i="9" s="1"/>
  <c r="GIU28" i="9" s="1"/>
  <c r="GIW28" i="9" s="1"/>
  <c r="GIY28" i="9" s="1"/>
  <c r="GJA28" i="9" s="1"/>
  <c r="GJC28" i="9" s="1"/>
  <c r="GJE28" i="9" s="1"/>
  <c r="GJG28" i="9" s="1"/>
  <c r="GJI28" i="9" s="1"/>
  <c r="GJK28" i="9" s="1"/>
  <c r="GJM28" i="9" s="1"/>
  <c r="GJO28" i="9" s="1"/>
  <c r="GJQ28" i="9" s="1"/>
  <c r="GJS28" i="9" s="1"/>
  <c r="GJU28" i="9" s="1"/>
  <c r="GJW28" i="9" s="1"/>
  <c r="GJY28" i="9" s="1"/>
  <c r="GKA28" i="9" s="1"/>
  <c r="GKC28" i="9" s="1"/>
  <c r="GKE28" i="9" s="1"/>
  <c r="GKG28" i="9" s="1"/>
  <c r="GKI28" i="9" s="1"/>
  <c r="GKK28" i="9" s="1"/>
  <c r="GKM28" i="9" s="1"/>
  <c r="GKO28" i="9" s="1"/>
  <c r="GKQ28" i="9" s="1"/>
  <c r="GKS28" i="9" s="1"/>
  <c r="GKU28" i="9" s="1"/>
  <c r="GKW28" i="9" s="1"/>
  <c r="GKY28" i="9" s="1"/>
  <c r="GLA28" i="9" s="1"/>
  <c r="GLC28" i="9" s="1"/>
  <c r="GLE28" i="9" s="1"/>
  <c r="GLG28" i="9" s="1"/>
  <c r="GLI28" i="9" s="1"/>
  <c r="GLK28" i="9" s="1"/>
  <c r="GLM28" i="9" s="1"/>
  <c r="GLO28" i="9" s="1"/>
  <c r="GLQ28" i="9" s="1"/>
  <c r="GLS28" i="9" s="1"/>
  <c r="GLU28" i="9" s="1"/>
  <c r="GLW28" i="9" s="1"/>
  <c r="GLY28" i="9" s="1"/>
  <c r="GMA28" i="9" s="1"/>
  <c r="GMC28" i="9" s="1"/>
  <c r="GME28" i="9" s="1"/>
  <c r="GMG28" i="9" s="1"/>
  <c r="GMI28" i="9" s="1"/>
  <c r="GMK28" i="9" s="1"/>
  <c r="GMM28" i="9" s="1"/>
  <c r="GMO28" i="9" s="1"/>
  <c r="GMQ28" i="9" s="1"/>
  <c r="GMS28" i="9" s="1"/>
  <c r="GMU28" i="9" s="1"/>
  <c r="GMW28" i="9" s="1"/>
  <c r="GMY28" i="9" s="1"/>
  <c r="GNA28" i="9" s="1"/>
  <c r="GNC28" i="9" s="1"/>
  <c r="GNE28" i="9" s="1"/>
  <c r="GNG28" i="9" s="1"/>
  <c r="GNI28" i="9" s="1"/>
  <c r="GNK28" i="9" s="1"/>
  <c r="GNM28" i="9" s="1"/>
  <c r="GNO28" i="9" s="1"/>
  <c r="GNQ28" i="9" s="1"/>
  <c r="GNS28" i="9" s="1"/>
  <c r="GNU28" i="9" s="1"/>
  <c r="GNW28" i="9" s="1"/>
  <c r="GNY28" i="9" s="1"/>
  <c r="GOA28" i="9" s="1"/>
  <c r="GOC28" i="9" s="1"/>
  <c r="GOE28" i="9" s="1"/>
  <c r="GOG28" i="9" s="1"/>
  <c r="GOI28" i="9" s="1"/>
  <c r="GOK28" i="9" s="1"/>
  <c r="GOM28" i="9" s="1"/>
  <c r="GOO28" i="9" s="1"/>
  <c r="GOQ28" i="9" s="1"/>
  <c r="GOS28" i="9" s="1"/>
  <c r="GOU28" i="9" s="1"/>
  <c r="GOW28" i="9" s="1"/>
  <c r="GOY28" i="9" s="1"/>
  <c r="GPA28" i="9" s="1"/>
  <c r="GPC28" i="9" s="1"/>
  <c r="GPE28" i="9" s="1"/>
  <c r="GPG28" i="9" s="1"/>
  <c r="GPI28" i="9" s="1"/>
  <c r="GPK28" i="9" s="1"/>
  <c r="GPM28" i="9" s="1"/>
  <c r="GPO28" i="9" s="1"/>
  <c r="GPQ28" i="9" s="1"/>
  <c r="GPS28" i="9" s="1"/>
  <c r="GPU28" i="9" s="1"/>
  <c r="GPW28" i="9" s="1"/>
  <c r="GPY28" i="9" s="1"/>
  <c r="GQA28" i="9" s="1"/>
  <c r="GQC28" i="9" s="1"/>
  <c r="GQE28" i="9" s="1"/>
  <c r="GQG28" i="9" s="1"/>
  <c r="GQI28" i="9" s="1"/>
  <c r="GQK28" i="9" s="1"/>
  <c r="GQM28" i="9" s="1"/>
  <c r="GQO28" i="9" s="1"/>
  <c r="GQQ28" i="9" s="1"/>
  <c r="GQS28" i="9" s="1"/>
  <c r="GQU28" i="9" s="1"/>
  <c r="GQW28" i="9" s="1"/>
  <c r="GQY28" i="9" s="1"/>
  <c r="GRA28" i="9" s="1"/>
  <c r="GRC28" i="9" s="1"/>
  <c r="GRE28" i="9" s="1"/>
  <c r="GRG28" i="9" s="1"/>
  <c r="GRI28" i="9" s="1"/>
  <c r="GRK28" i="9" s="1"/>
  <c r="GRM28" i="9" s="1"/>
  <c r="GRO28" i="9" s="1"/>
  <c r="GRQ28" i="9" s="1"/>
  <c r="GRS28" i="9" s="1"/>
  <c r="GRU28" i="9" s="1"/>
  <c r="GRW28" i="9" s="1"/>
  <c r="GRY28" i="9" s="1"/>
  <c r="GSA28" i="9" s="1"/>
  <c r="GSC28" i="9" s="1"/>
  <c r="GSE28" i="9" s="1"/>
  <c r="GSG28" i="9" s="1"/>
  <c r="GSI28" i="9" s="1"/>
  <c r="GSK28" i="9" s="1"/>
  <c r="GSM28" i="9" s="1"/>
  <c r="GSO28" i="9" s="1"/>
  <c r="GSQ28" i="9" s="1"/>
  <c r="GSS28" i="9" s="1"/>
  <c r="GSU28" i="9" s="1"/>
  <c r="GSW28" i="9" s="1"/>
  <c r="GSY28" i="9" s="1"/>
  <c r="GTA28" i="9" s="1"/>
  <c r="GTC28" i="9" s="1"/>
  <c r="GTE28" i="9" s="1"/>
  <c r="GTG28" i="9" s="1"/>
  <c r="GTI28" i="9" s="1"/>
  <c r="GTK28" i="9" s="1"/>
  <c r="GTM28" i="9" s="1"/>
  <c r="GTO28" i="9" s="1"/>
  <c r="GTQ28" i="9" s="1"/>
  <c r="GTS28" i="9" s="1"/>
  <c r="GTU28" i="9" s="1"/>
  <c r="GTW28" i="9" s="1"/>
  <c r="GTY28" i="9" s="1"/>
  <c r="GUA28" i="9" s="1"/>
  <c r="GUC28" i="9" s="1"/>
  <c r="GUE28" i="9" s="1"/>
  <c r="GUG28" i="9" s="1"/>
  <c r="GUI28" i="9" s="1"/>
  <c r="GUK28" i="9" s="1"/>
  <c r="GUM28" i="9" s="1"/>
  <c r="GUO28" i="9" s="1"/>
  <c r="GUQ28" i="9" s="1"/>
  <c r="GUS28" i="9" s="1"/>
  <c r="GUU28" i="9" s="1"/>
  <c r="GUW28" i="9" s="1"/>
  <c r="GUY28" i="9" s="1"/>
  <c r="GVA28" i="9" s="1"/>
  <c r="GVC28" i="9" s="1"/>
  <c r="GVE28" i="9" s="1"/>
  <c r="GVG28" i="9" s="1"/>
  <c r="GVI28" i="9" s="1"/>
  <c r="GVK28" i="9" s="1"/>
  <c r="GVM28" i="9" s="1"/>
  <c r="GVO28" i="9" s="1"/>
  <c r="GVQ28" i="9" s="1"/>
  <c r="GVS28" i="9" s="1"/>
  <c r="GVU28" i="9" s="1"/>
  <c r="GVW28" i="9" s="1"/>
  <c r="GVY28" i="9" s="1"/>
  <c r="GWA28" i="9" s="1"/>
  <c r="GWC28" i="9" s="1"/>
  <c r="GWE28" i="9" s="1"/>
  <c r="GWG28" i="9" s="1"/>
  <c r="GWI28" i="9" s="1"/>
  <c r="GWK28" i="9" s="1"/>
  <c r="GWM28" i="9" s="1"/>
  <c r="GWO28" i="9" s="1"/>
  <c r="GWQ28" i="9" s="1"/>
  <c r="GWS28" i="9" s="1"/>
  <c r="GWU28" i="9" s="1"/>
  <c r="GWW28" i="9" s="1"/>
  <c r="GWY28" i="9" s="1"/>
  <c r="GXA28" i="9" s="1"/>
  <c r="GXC28" i="9" s="1"/>
  <c r="GXE28" i="9" s="1"/>
  <c r="GXG28" i="9" s="1"/>
  <c r="GXI28" i="9" s="1"/>
  <c r="GXK28" i="9" s="1"/>
  <c r="GXM28" i="9" s="1"/>
  <c r="GXO28" i="9" s="1"/>
  <c r="GXQ28" i="9" s="1"/>
  <c r="GXS28" i="9" s="1"/>
  <c r="GXU28" i="9" s="1"/>
  <c r="GXW28" i="9" s="1"/>
  <c r="GXY28" i="9" s="1"/>
  <c r="GYA28" i="9" s="1"/>
  <c r="GYC28" i="9" s="1"/>
  <c r="GYE28" i="9" s="1"/>
  <c r="GYG28" i="9" s="1"/>
  <c r="GYI28" i="9" s="1"/>
  <c r="GYK28" i="9" s="1"/>
  <c r="GYM28" i="9" s="1"/>
  <c r="GYO28" i="9" s="1"/>
  <c r="GYQ28" i="9" s="1"/>
  <c r="GYS28" i="9" s="1"/>
  <c r="GYU28" i="9" s="1"/>
  <c r="GYW28" i="9" s="1"/>
  <c r="GYY28" i="9" s="1"/>
  <c r="GZA28" i="9" s="1"/>
  <c r="GZC28" i="9" s="1"/>
  <c r="GZE28" i="9" s="1"/>
  <c r="GZG28" i="9" s="1"/>
  <c r="GZI28" i="9" s="1"/>
  <c r="GZK28" i="9" s="1"/>
  <c r="GZM28" i="9" s="1"/>
  <c r="GZO28" i="9" s="1"/>
  <c r="GZQ28" i="9" s="1"/>
  <c r="GZS28" i="9" s="1"/>
  <c r="GZU28" i="9" s="1"/>
  <c r="GZW28" i="9" s="1"/>
  <c r="GZY28" i="9" s="1"/>
  <c r="HAA28" i="9" s="1"/>
  <c r="HAC28" i="9" s="1"/>
  <c r="HAE28" i="9" s="1"/>
  <c r="HAG28" i="9" s="1"/>
  <c r="HAI28" i="9" s="1"/>
  <c r="HAK28" i="9" s="1"/>
  <c r="HAM28" i="9" s="1"/>
  <c r="HAO28" i="9" s="1"/>
  <c r="HAQ28" i="9" s="1"/>
  <c r="HAS28" i="9" s="1"/>
  <c r="HAU28" i="9" s="1"/>
  <c r="HAW28" i="9" s="1"/>
  <c r="HAY28" i="9" s="1"/>
  <c r="HBA28" i="9" s="1"/>
  <c r="HBC28" i="9" s="1"/>
  <c r="HBE28" i="9" s="1"/>
  <c r="HBG28" i="9" s="1"/>
  <c r="HBI28" i="9" s="1"/>
  <c r="HBK28" i="9" s="1"/>
  <c r="HBM28" i="9" s="1"/>
  <c r="HBO28" i="9" s="1"/>
  <c r="HBQ28" i="9" s="1"/>
  <c r="HBS28" i="9" s="1"/>
  <c r="HBU28" i="9" s="1"/>
  <c r="HBW28" i="9" s="1"/>
  <c r="HBY28" i="9" s="1"/>
  <c r="HCA28" i="9" s="1"/>
  <c r="HCC28" i="9" s="1"/>
  <c r="HCE28" i="9" s="1"/>
  <c r="HCG28" i="9" s="1"/>
  <c r="HCI28" i="9" s="1"/>
  <c r="HCK28" i="9" s="1"/>
  <c r="HCM28" i="9" s="1"/>
  <c r="HCO28" i="9" s="1"/>
  <c r="HCQ28" i="9" s="1"/>
  <c r="HCS28" i="9" s="1"/>
  <c r="HCU28" i="9" s="1"/>
  <c r="HCW28" i="9" s="1"/>
  <c r="HCY28" i="9" s="1"/>
  <c r="HDA28" i="9" s="1"/>
  <c r="HDC28" i="9" s="1"/>
  <c r="HDE28" i="9" s="1"/>
  <c r="HDG28" i="9" s="1"/>
  <c r="HDI28" i="9" s="1"/>
  <c r="HDK28" i="9" s="1"/>
  <c r="HDM28" i="9" s="1"/>
  <c r="HDO28" i="9" s="1"/>
  <c r="HDQ28" i="9" s="1"/>
  <c r="HDS28" i="9" s="1"/>
  <c r="HDU28" i="9" s="1"/>
  <c r="HDW28" i="9" s="1"/>
  <c r="HDY28" i="9" s="1"/>
  <c r="HEA28" i="9" s="1"/>
  <c r="HEC28" i="9" s="1"/>
  <c r="HEE28" i="9" s="1"/>
  <c r="HEG28" i="9" s="1"/>
  <c r="HEI28" i="9" s="1"/>
  <c r="HEK28" i="9" s="1"/>
  <c r="HEM28" i="9" s="1"/>
  <c r="HEO28" i="9" s="1"/>
  <c r="HEQ28" i="9" s="1"/>
  <c r="HES28" i="9" s="1"/>
  <c r="HEU28" i="9" s="1"/>
  <c r="HEW28" i="9" s="1"/>
  <c r="HEY28" i="9" s="1"/>
  <c r="HFA28" i="9" s="1"/>
  <c r="HFC28" i="9" s="1"/>
  <c r="HFE28" i="9" s="1"/>
  <c r="HFG28" i="9" s="1"/>
  <c r="HFI28" i="9" s="1"/>
  <c r="HFK28" i="9" s="1"/>
  <c r="HFM28" i="9" s="1"/>
  <c r="HFO28" i="9" s="1"/>
  <c r="HFQ28" i="9" s="1"/>
  <c r="HFS28" i="9" s="1"/>
  <c r="HFU28" i="9" s="1"/>
  <c r="HFW28" i="9" s="1"/>
  <c r="HFY28" i="9" s="1"/>
  <c r="HGA28" i="9" s="1"/>
  <c r="HGC28" i="9" s="1"/>
  <c r="HGE28" i="9" s="1"/>
  <c r="HGG28" i="9" s="1"/>
  <c r="HGI28" i="9" s="1"/>
  <c r="HGK28" i="9" s="1"/>
  <c r="HGM28" i="9" s="1"/>
  <c r="HGO28" i="9" s="1"/>
  <c r="HGQ28" i="9" s="1"/>
  <c r="HGS28" i="9" s="1"/>
  <c r="HGU28" i="9" s="1"/>
  <c r="HGW28" i="9" s="1"/>
  <c r="HGY28" i="9" s="1"/>
  <c r="HHA28" i="9" s="1"/>
  <c r="HHC28" i="9" s="1"/>
  <c r="HHE28" i="9" s="1"/>
  <c r="HHG28" i="9" s="1"/>
  <c r="HHI28" i="9" s="1"/>
  <c r="HHK28" i="9" s="1"/>
  <c r="HHM28" i="9" s="1"/>
  <c r="HHO28" i="9" s="1"/>
  <c r="HHQ28" i="9" s="1"/>
  <c r="HHS28" i="9" s="1"/>
  <c r="HHU28" i="9" s="1"/>
  <c r="HHW28" i="9" s="1"/>
  <c r="HHY28" i="9" s="1"/>
  <c r="HIA28" i="9" s="1"/>
  <c r="HIC28" i="9" s="1"/>
  <c r="HIE28" i="9" s="1"/>
  <c r="HIG28" i="9" s="1"/>
  <c r="HII28" i="9" s="1"/>
  <c r="HIK28" i="9" s="1"/>
  <c r="HIM28" i="9" s="1"/>
  <c r="HIO28" i="9" s="1"/>
  <c r="HIQ28" i="9" s="1"/>
  <c r="HIS28" i="9" s="1"/>
  <c r="HIU28" i="9" s="1"/>
  <c r="HIW28" i="9" s="1"/>
  <c r="HIY28" i="9" s="1"/>
  <c r="HJA28" i="9" s="1"/>
  <c r="HJC28" i="9" s="1"/>
  <c r="HJE28" i="9" s="1"/>
  <c r="HJG28" i="9" s="1"/>
  <c r="HJI28" i="9" s="1"/>
  <c r="HJK28" i="9" s="1"/>
  <c r="HJM28" i="9" s="1"/>
  <c r="HJO28" i="9" s="1"/>
  <c r="HJQ28" i="9" s="1"/>
  <c r="HJS28" i="9" s="1"/>
  <c r="HJU28" i="9" s="1"/>
  <c r="HJW28" i="9" s="1"/>
  <c r="HJY28" i="9" s="1"/>
  <c r="HKA28" i="9" s="1"/>
  <c r="HKC28" i="9" s="1"/>
  <c r="HKE28" i="9" s="1"/>
  <c r="HKG28" i="9" s="1"/>
  <c r="HKI28" i="9" s="1"/>
  <c r="HKK28" i="9" s="1"/>
  <c r="HKM28" i="9" s="1"/>
  <c r="HKO28" i="9" s="1"/>
  <c r="HKQ28" i="9" s="1"/>
  <c r="HKS28" i="9" s="1"/>
  <c r="HKU28" i="9" s="1"/>
  <c r="HKW28" i="9" s="1"/>
  <c r="HKY28" i="9" s="1"/>
  <c r="HLA28" i="9" s="1"/>
  <c r="HLC28" i="9" s="1"/>
  <c r="HLE28" i="9" s="1"/>
  <c r="HLG28" i="9" s="1"/>
  <c r="HLI28" i="9" s="1"/>
  <c r="HLK28" i="9" s="1"/>
  <c r="HLM28" i="9" s="1"/>
  <c r="HLO28" i="9" s="1"/>
  <c r="HLQ28" i="9" s="1"/>
  <c r="HLS28" i="9" s="1"/>
  <c r="HLU28" i="9" s="1"/>
  <c r="HLW28" i="9" s="1"/>
  <c r="HLY28" i="9" s="1"/>
  <c r="HMA28" i="9" s="1"/>
  <c r="HMC28" i="9" s="1"/>
  <c r="HME28" i="9" s="1"/>
  <c r="HMG28" i="9" s="1"/>
  <c r="HMI28" i="9" s="1"/>
  <c r="HMK28" i="9" s="1"/>
  <c r="HMM28" i="9" s="1"/>
  <c r="HMO28" i="9" s="1"/>
  <c r="HMQ28" i="9" s="1"/>
  <c r="HMS28" i="9" s="1"/>
  <c r="HMU28" i="9" s="1"/>
  <c r="HMW28" i="9" s="1"/>
  <c r="HMY28" i="9" s="1"/>
  <c r="HNA28" i="9" s="1"/>
  <c r="HNC28" i="9" s="1"/>
  <c r="HNE28" i="9" s="1"/>
  <c r="HNG28" i="9" s="1"/>
  <c r="HNI28" i="9" s="1"/>
  <c r="HNK28" i="9" s="1"/>
  <c r="HNM28" i="9" s="1"/>
  <c r="HNO28" i="9" s="1"/>
  <c r="HNQ28" i="9" s="1"/>
  <c r="HNS28" i="9" s="1"/>
  <c r="HNU28" i="9" s="1"/>
  <c r="HNW28" i="9" s="1"/>
  <c r="HNY28" i="9" s="1"/>
  <c r="HOA28" i="9" s="1"/>
  <c r="HOC28" i="9" s="1"/>
  <c r="HOE28" i="9" s="1"/>
  <c r="HOG28" i="9" s="1"/>
  <c r="HOI28" i="9" s="1"/>
  <c r="HOK28" i="9" s="1"/>
  <c r="HOM28" i="9" s="1"/>
  <c r="HOO28" i="9" s="1"/>
  <c r="HOQ28" i="9" s="1"/>
  <c r="HOS28" i="9" s="1"/>
  <c r="HOU28" i="9" s="1"/>
  <c r="HOW28" i="9" s="1"/>
  <c r="HOY28" i="9" s="1"/>
  <c r="HPA28" i="9" s="1"/>
  <c r="HPC28" i="9" s="1"/>
  <c r="HPE28" i="9" s="1"/>
  <c r="HPG28" i="9" s="1"/>
  <c r="HPI28" i="9" s="1"/>
  <c r="HPK28" i="9" s="1"/>
  <c r="HPM28" i="9" s="1"/>
  <c r="HPO28" i="9" s="1"/>
  <c r="HPQ28" i="9" s="1"/>
  <c r="HPS28" i="9" s="1"/>
  <c r="HPU28" i="9" s="1"/>
  <c r="HPW28" i="9" s="1"/>
  <c r="HPY28" i="9" s="1"/>
  <c r="HQA28" i="9" s="1"/>
  <c r="HQC28" i="9" s="1"/>
  <c r="HQE28" i="9" s="1"/>
  <c r="HQG28" i="9" s="1"/>
  <c r="HQI28" i="9" s="1"/>
  <c r="HQK28" i="9" s="1"/>
  <c r="HQM28" i="9" s="1"/>
  <c r="HQO28" i="9" s="1"/>
  <c r="HQQ28" i="9" s="1"/>
  <c r="HQS28" i="9" s="1"/>
  <c r="HQU28" i="9" s="1"/>
  <c r="HQW28" i="9" s="1"/>
  <c r="HQY28" i="9" s="1"/>
  <c r="HRA28" i="9" s="1"/>
  <c r="HRC28" i="9" s="1"/>
  <c r="HRE28" i="9" s="1"/>
  <c r="HRG28" i="9" s="1"/>
  <c r="HRI28" i="9" s="1"/>
  <c r="HRK28" i="9" s="1"/>
  <c r="HRM28" i="9" s="1"/>
  <c r="HRO28" i="9" s="1"/>
  <c r="HRQ28" i="9" s="1"/>
  <c r="HRS28" i="9" s="1"/>
  <c r="HRU28" i="9" s="1"/>
  <c r="HRW28" i="9" s="1"/>
  <c r="HRY28" i="9" s="1"/>
  <c r="HSA28" i="9" s="1"/>
  <c r="HSC28" i="9" s="1"/>
  <c r="HSE28" i="9" s="1"/>
  <c r="HSG28" i="9" s="1"/>
  <c r="HSI28" i="9" s="1"/>
  <c r="HSK28" i="9" s="1"/>
  <c r="HSM28" i="9" s="1"/>
  <c r="HSO28" i="9" s="1"/>
  <c r="HSQ28" i="9" s="1"/>
  <c r="HSS28" i="9" s="1"/>
  <c r="HSU28" i="9" s="1"/>
  <c r="HSW28" i="9" s="1"/>
  <c r="HSY28" i="9" s="1"/>
  <c r="HTA28" i="9" s="1"/>
  <c r="HTC28" i="9" s="1"/>
  <c r="HTE28" i="9" s="1"/>
  <c r="HTG28" i="9" s="1"/>
  <c r="HTI28" i="9" s="1"/>
  <c r="HTK28" i="9" s="1"/>
  <c r="HTM28" i="9" s="1"/>
  <c r="HTO28" i="9" s="1"/>
  <c r="HTQ28" i="9" s="1"/>
  <c r="HTS28" i="9" s="1"/>
  <c r="HTU28" i="9" s="1"/>
  <c r="HTW28" i="9" s="1"/>
  <c r="HTY28" i="9" s="1"/>
  <c r="HUA28" i="9" s="1"/>
  <c r="HUC28" i="9" s="1"/>
  <c r="HUE28" i="9" s="1"/>
  <c r="HUG28" i="9" s="1"/>
  <c r="HUI28" i="9" s="1"/>
  <c r="HUK28" i="9" s="1"/>
  <c r="HUM28" i="9" s="1"/>
  <c r="HUO28" i="9" s="1"/>
  <c r="HUQ28" i="9" s="1"/>
  <c r="HUS28" i="9" s="1"/>
  <c r="HUU28" i="9" s="1"/>
  <c r="HUW28" i="9" s="1"/>
  <c r="HUY28" i="9" s="1"/>
  <c r="HVA28" i="9" s="1"/>
  <c r="HVC28" i="9" s="1"/>
  <c r="HVE28" i="9" s="1"/>
  <c r="HVG28" i="9" s="1"/>
  <c r="HVI28" i="9" s="1"/>
  <c r="HVK28" i="9" s="1"/>
  <c r="HVM28" i="9" s="1"/>
  <c r="HVO28" i="9" s="1"/>
  <c r="HVQ28" i="9" s="1"/>
  <c r="HVS28" i="9" s="1"/>
  <c r="HVU28" i="9" s="1"/>
  <c r="HVW28" i="9" s="1"/>
  <c r="HVY28" i="9" s="1"/>
  <c r="HWA28" i="9" s="1"/>
  <c r="HWC28" i="9" s="1"/>
  <c r="HWE28" i="9" s="1"/>
  <c r="HWG28" i="9" s="1"/>
  <c r="HWI28" i="9" s="1"/>
  <c r="HWK28" i="9" s="1"/>
  <c r="HWM28" i="9" s="1"/>
  <c r="HWO28" i="9" s="1"/>
  <c r="HWQ28" i="9" s="1"/>
  <c r="HWS28" i="9" s="1"/>
  <c r="HWU28" i="9" s="1"/>
  <c r="HWW28" i="9" s="1"/>
  <c r="HWY28" i="9" s="1"/>
  <c r="HXA28" i="9" s="1"/>
  <c r="HXC28" i="9" s="1"/>
  <c r="HXE28" i="9" s="1"/>
  <c r="HXG28" i="9" s="1"/>
  <c r="HXI28" i="9" s="1"/>
  <c r="HXK28" i="9" s="1"/>
  <c r="HXM28" i="9" s="1"/>
  <c r="HXO28" i="9" s="1"/>
  <c r="HXQ28" i="9" s="1"/>
  <c r="HXS28" i="9" s="1"/>
  <c r="HXU28" i="9" s="1"/>
  <c r="HXW28" i="9" s="1"/>
  <c r="HXY28" i="9" s="1"/>
  <c r="HYA28" i="9" s="1"/>
  <c r="HYC28" i="9" s="1"/>
  <c r="HYE28" i="9" s="1"/>
  <c r="HYG28" i="9" s="1"/>
  <c r="HYI28" i="9" s="1"/>
  <c r="HYK28" i="9" s="1"/>
  <c r="HYM28" i="9" s="1"/>
  <c r="HYO28" i="9" s="1"/>
  <c r="HYQ28" i="9" s="1"/>
  <c r="HYS28" i="9" s="1"/>
  <c r="HYU28" i="9" s="1"/>
  <c r="HYW28" i="9" s="1"/>
  <c r="HYY28" i="9" s="1"/>
  <c r="HZA28" i="9" s="1"/>
  <c r="HZC28" i="9" s="1"/>
  <c r="HZE28" i="9" s="1"/>
  <c r="HZG28" i="9" s="1"/>
  <c r="HZI28" i="9" s="1"/>
  <c r="HZK28" i="9" s="1"/>
  <c r="HZM28" i="9" s="1"/>
  <c r="HZO28" i="9" s="1"/>
  <c r="HZQ28" i="9" s="1"/>
  <c r="HZS28" i="9" s="1"/>
  <c r="HZU28" i="9" s="1"/>
  <c r="HZW28" i="9" s="1"/>
  <c r="HZY28" i="9" s="1"/>
  <c r="IAA28" i="9" s="1"/>
  <c r="IAC28" i="9" s="1"/>
  <c r="IAE28" i="9" s="1"/>
  <c r="IAG28" i="9" s="1"/>
  <c r="IAI28" i="9" s="1"/>
  <c r="IAK28" i="9" s="1"/>
  <c r="IAM28" i="9" s="1"/>
  <c r="IAO28" i="9" s="1"/>
  <c r="IAQ28" i="9" s="1"/>
  <c r="IAS28" i="9" s="1"/>
  <c r="IAU28" i="9" s="1"/>
  <c r="IAW28" i="9" s="1"/>
  <c r="IAY28" i="9" s="1"/>
  <c r="IBA28" i="9" s="1"/>
  <c r="IBC28" i="9" s="1"/>
  <c r="IBE28" i="9" s="1"/>
  <c r="IBG28" i="9" s="1"/>
  <c r="IBI28" i="9" s="1"/>
  <c r="IBK28" i="9" s="1"/>
  <c r="IBM28" i="9" s="1"/>
  <c r="IBO28" i="9" s="1"/>
  <c r="IBQ28" i="9" s="1"/>
  <c r="IBS28" i="9" s="1"/>
  <c r="IBU28" i="9" s="1"/>
  <c r="IBW28" i="9" s="1"/>
  <c r="IBY28" i="9" s="1"/>
  <c r="ICA28" i="9" s="1"/>
  <c r="ICC28" i="9" s="1"/>
  <c r="ICE28" i="9" s="1"/>
  <c r="ICG28" i="9" s="1"/>
  <c r="ICI28" i="9" s="1"/>
  <c r="ICK28" i="9" s="1"/>
  <c r="ICM28" i="9" s="1"/>
  <c r="ICO28" i="9" s="1"/>
  <c r="ICQ28" i="9" s="1"/>
  <c r="ICS28" i="9" s="1"/>
  <c r="ICU28" i="9" s="1"/>
  <c r="ICW28" i="9" s="1"/>
  <c r="ICY28" i="9" s="1"/>
  <c r="IDA28" i="9" s="1"/>
  <c r="IDC28" i="9" s="1"/>
  <c r="IDE28" i="9" s="1"/>
  <c r="IDG28" i="9" s="1"/>
  <c r="IDI28" i="9" s="1"/>
  <c r="IDK28" i="9" s="1"/>
  <c r="IDM28" i="9" s="1"/>
  <c r="IDO28" i="9" s="1"/>
  <c r="IDQ28" i="9" s="1"/>
  <c r="IDS28" i="9" s="1"/>
  <c r="IDU28" i="9" s="1"/>
  <c r="IDW28" i="9" s="1"/>
  <c r="IDY28" i="9" s="1"/>
  <c r="IEA28" i="9" s="1"/>
  <c r="IEC28" i="9" s="1"/>
  <c r="IEE28" i="9" s="1"/>
  <c r="IEG28" i="9" s="1"/>
  <c r="IEI28" i="9" s="1"/>
  <c r="IEK28" i="9" s="1"/>
  <c r="IEM28" i="9" s="1"/>
  <c r="IEO28" i="9" s="1"/>
  <c r="IEQ28" i="9" s="1"/>
  <c r="IES28" i="9" s="1"/>
  <c r="IEU28" i="9" s="1"/>
  <c r="IEW28" i="9" s="1"/>
  <c r="IEY28" i="9" s="1"/>
  <c r="IFA28" i="9" s="1"/>
  <c r="IFC28" i="9" s="1"/>
  <c r="IFE28" i="9" s="1"/>
  <c r="IFG28" i="9" s="1"/>
  <c r="IFI28" i="9" s="1"/>
  <c r="IFK28" i="9" s="1"/>
  <c r="IFM28" i="9" s="1"/>
  <c r="IFO28" i="9" s="1"/>
  <c r="IFQ28" i="9" s="1"/>
  <c r="IFS28" i="9" s="1"/>
  <c r="IFU28" i="9" s="1"/>
  <c r="IFW28" i="9" s="1"/>
  <c r="IFY28" i="9" s="1"/>
  <c r="IGA28" i="9" s="1"/>
  <c r="IGC28" i="9" s="1"/>
  <c r="IGE28" i="9" s="1"/>
  <c r="IGG28" i="9" s="1"/>
  <c r="IGI28" i="9" s="1"/>
  <c r="IGK28" i="9" s="1"/>
  <c r="IGM28" i="9" s="1"/>
  <c r="IGO28" i="9" s="1"/>
  <c r="IGQ28" i="9" s="1"/>
  <c r="IGS28" i="9" s="1"/>
  <c r="IGU28" i="9" s="1"/>
  <c r="IGW28" i="9" s="1"/>
  <c r="IGY28" i="9" s="1"/>
  <c r="IHA28" i="9" s="1"/>
  <c r="IHC28" i="9" s="1"/>
  <c r="IHE28" i="9" s="1"/>
  <c r="IHG28" i="9" s="1"/>
  <c r="IHI28" i="9" s="1"/>
  <c r="IHK28" i="9" s="1"/>
  <c r="IHM28" i="9" s="1"/>
  <c r="IHO28" i="9" s="1"/>
  <c r="IHQ28" i="9" s="1"/>
  <c r="IHS28" i="9" s="1"/>
  <c r="IHU28" i="9" s="1"/>
  <c r="IHW28" i="9" s="1"/>
  <c r="IHY28" i="9" s="1"/>
  <c r="IIA28" i="9" s="1"/>
  <c r="IIC28" i="9" s="1"/>
  <c r="IIE28" i="9" s="1"/>
  <c r="IIG28" i="9" s="1"/>
  <c r="III28" i="9" s="1"/>
  <c r="IIK28" i="9" s="1"/>
  <c r="IIM28" i="9" s="1"/>
  <c r="IIO28" i="9" s="1"/>
  <c r="IIQ28" i="9" s="1"/>
  <c r="IIS28" i="9" s="1"/>
  <c r="IIU28" i="9" s="1"/>
  <c r="IIW28" i="9" s="1"/>
  <c r="IIY28" i="9" s="1"/>
  <c r="IJA28" i="9" s="1"/>
  <c r="IJC28" i="9" s="1"/>
  <c r="IJE28" i="9" s="1"/>
  <c r="IJG28" i="9" s="1"/>
  <c r="IJI28" i="9" s="1"/>
  <c r="IJK28" i="9" s="1"/>
  <c r="IJM28" i="9" s="1"/>
  <c r="IJO28" i="9" s="1"/>
  <c r="IJQ28" i="9" s="1"/>
  <c r="IJS28" i="9" s="1"/>
  <c r="IJU28" i="9" s="1"/>
  <c r="IJW28" i="9" s="1"/>
  <c r="IJY28" i="9" s="1"/>
  <c r="IKA28" i="9" s="1"/>
  <c r="IKC28" i="9" s="1"/>
  <c r="IKE28" i="9" s="1"/>
  <c r="IKG28" i="9" s="1"/>
  <c r="IKI28" i="9" s="1"/>
  <c r="IKK28" i="9" s="1"/>
  <c r="IKM28" i="9" s="1"/>
  <c r="IKO28" i="9" s="1"/>
  <c r="IKQ28" i="9" s="1"/>
  <c r="IKS28" i="9" s="1"/>
  <c r="IKU28" i="9" s="1"/>
  <c r="IKW28" i="9" s="1"/>
  <c r="IKY28" i="9" s="1"/>
  <c r="ILA28" i="9" s="1"/>
  <c r="ILC28" i="9" s="1"/>
  <c r="ILE28" i="9" s="1"/>
  <c r="ILG28" i="9" s="1"/>
  <c r="ILI28" i="9" s="1"/>
  <c r="ILK28" i="9" s="1"/>
  <c r="ILM28" i="9" s="1"/>
  <c r="ILO28" i="9" s="1"/>
  <c r="ILQ28" i="9" s="1"/>
  <c r="ILS28" i="9" s="1"/>
  <c r="ILU28" i="9" s="1"/>
  <c r="ILW28" i="9" s="1"/>
  <c r="ILY28" i="9" s="1"/>
  <c r="IMA28" i="9" s="1"/>
  <c r="IMC28" i="9" s="1"/>
  <c r="IME28" i="9" s="1"/>
  <c r="IMG28" i="9" s="1"/>
  <c r="IMI28" i="9" s="1"/>
  <c r="IMK28" i="9" s="1"/>
  <c r="IMM28" i="9" s="1"/>
  <c r="IMO28" i="9" s="1"/>
  <c r="IMQ28" i="9" s="1"/>
  <c r="IMS28" i="9" s="1"/>
  <c r="IMU28" i="9" s="1"/>
  <c r="IMW28" i="9" s="1"/>
  <c r="IMY28" i="9" s="1"/>
  <c r="INA28" i="9" s="1"/>
  <c r="INC28" i="9" s="1"/>
  <c r="INE28" i="9" s="1"/>
  <c r="ING28" i="9" s="1"/>
  <c r="INI28" i="9" s="1"/>
  <c r="INK28" i="9" s="1"/>
  <c r="INM28" i="9" s="1"/>
  <c r="INO28" i="9" s="1"/>
  <c r="INQ28" i="9" s="1"/>
  <c r="INS28" i="9" s="1"/>
  <c r="INU28" i="9" s="1"/>
  <c r="INW28" i="9" s="1"/>
  <c r="INY28" i="9" s="1"/>
  <c r="IOA28" i="9" s="1"/>
  <c r="IOC28" i="9" s="1"/>
  <c r="IOE28" i="9" s="1"/>
  <c r="IOG28" i="9" s="1"/>
  <c r="IOI28" i="9" s="1"/>
  <c r="IOK28" i="9" s="1"/>
  <c r="IOM28" i="9" s="1"/>
  <c r="IOO28" i="9" s="1"/>
  <c r="IOQ28" i="9" s="1"/>
  <c r="IOS28" i="9" s="1"/>
  <c r="IOU28" i="9" s="1"/>
  <c r="IOW28" i="9" s="1"/>
  <c r="IOY28" i="9" s="1"/>
  <c r="IPA28" i="9" s="1"/>
  <c r="IPC28" i="9" s="1"/>
  <c r="IPE28" i="9" s="1"/>
  <c r="IPG28" i="9" s="1"/>
  <c r="IPI28" i="9" s="1"/>
  <c r="IPK28" i="9" s="1"/>
  <c r="IPM28" i="9" s="1"/>
  <c r="IPO28" i="9" s="1"/>
  <c r="IPQ28" i="9" s="1"/>
  <c r="IPS28" i="9" s="1"/>
  <c r="IPU28" i="9" s="1"/>
  <c r="IPW28" i="9" s="1"/>
  <c r="IPY28" i="9" s="1"/>
  <c r="IQA28" i="9" s="1"/>
  <c r="IQC28" i="9" s="1"/>
  <c r="IQE28" i="9" s="1"/>
  <c r="IQG28" i="9" s="1"/>
  <c r="IQI28" i="9" s="1"/>
  <c r="IQK28" i="9" s="1"/>
  <c r="IQM28" i="9" s="1"/>
  <c r="IQO28" i="9" s="1"/>
  <c r="IQQ28" i="9" s="1"/>
  <c r="IQS28" i="9" s="1"/>
  <c r="IQU28" i="9" s="1"/>
  <c r="IQW28" i="9" s="1"/>
  <c r="IQY28" i="9" s="1"/>
  <c r="IRA28" i="9" s="1"/>
  <c r="IRC28" i="9" s="1"/>
  <c r="IRE28" i="9" s="1"/>
  <c r="IRG28" i="9" s="1"/>
  <c r="IRI28" i="9" s="1"/>
  <c r="IRK28" i="9" s="1"/>
  <c r="IRM28" i="9" s="1"/>
  <c r="IRO28" i="9" s="1"/>
  <c r="IRQ28" i="9" s="1"/>
  <c r="IRS28" i="9" s="1"/>
  <c r="IRU28" i="9" s="1"/>
  <c r="IRW28" i="9" s="1"/>
  <c r="IRY28" i="9" s="1"/>
  <c r="ISA28" i="9" s="1"/>
  <c r="ISC28" i="9" s="1"/>
  <c r="ISE28" i="9" s="1"/>
  <c r="ISG28" i="9" s="1"/>
  <c r="ISI28" i="9" s="1"/>
  <c r="ISK28" i="9" s="1"/>
  <c r="ISM28" i="9" s="1"/>
  <c r="ISO28" i="9" s="1"/>
  <c r="ISQ28" i="9" s="1"/>
  <c r="ISS28" i="9" s="1"/>
  <c r="ISU28" i="9" s="1"/>
  <c r="ISW28" i="9" s="1"/>
  <c r="ISY28" i="9" s="1"/>
  <c r="ITA28" i="9" s="1"/>
  <c r="ITC28" i="9" s="1"/>
  <c r="ITE28" i="9" s="1"/>
  <c r="ITG28" i="9" s="1"/>
  <c r="ITI28" i="9" s="1"/>
  <c r="ITK28" i="9" s="1"/>
  <c r="ITM28" i="9" s="1"/>
  <c r="ITO28" i="9" s="1"/>
  <c r="ITQ28" i="9" s="1"/>
  <c r="ITS28" i="9" s="1"/>
  <c r="ITU28" i="9" s="1"/>
  <c r="ITW28" i="9" s="1"/>
  <c r="ITY28" i="9" s="1"/>
  <c r="IUA28" i="9" s="1"/>
  <c r="IUC28" i="9" s="1"/>
  <c r="IUE28" i="9" s="1"/>
  <c r="IUG28" i="9" s="1"/>
  <c r="IUI28" i="9" s="1"/>
  <c r="IUK28" i="9" s="1"/>
  <c r="IUM28" i="9" s="1"/>
  <c r="IUO28" i="9" s="1"/>
  <c r="IUQ28" i="9" s="1"/>
  <c r="IUS28" i="9" s="1"/>
  <c r="IUU28" i="9" s="1"/>
  <c r="IUW28" i="9" s="1"/>
  <c r="IUY28" i="9" s="1"/>
  <c r="IVA28" i="9" s="1"/>
  <c r="IVC28" i="9" s="1"/>
  <c r="IVE28" i="9" s="1"/>
  <c r="IVG28" i="9" s="1"/>
  <c r="IVI28" i="9" s="1"/>
  <c r="IVK28" i="9" s="1"/>
  <c r="IVM28" i="9" s="1"/>
  <c r="IVO28" i="9" s="1"/>
  <c r="IVQ28" i="9" s="1"/>
  <c r="IVS28" i="9" s="1"/>
  <c r="IVU28" i="9" s="1"/>
  <c r="IVW28" i="9" s="1"/>
  <c r="IVY28" i="9" s="1"/>
  <c r="IWA28" i="9" s="1"/>
  <c r="IWC28" i="9" s="1"/>
  <c r="IWE28" i="9" s="1"/>
  <c r="IWG28" i="9" s="1"/>
  <c r="IWI28" i="9" s="1"/>
  <c r="IWK28" i="9" s="1"/>
  <c r="IWM28" i="9" s="1"/>
  <c r="IWO28" i="9" s="1"/>
  <c r="IWQ28" i="9" s="1"/>
  <c r="IWS28" i="9" s="1"/>
  <c r="IWU28" i="9" s="1"/>
  <c r="IWW28" i="9" s="1"/>
  <c r="IWY28" i="9" s="1"/>
  <c r="IXA28" i="9" s="1"/>
  <c r="IXC28" i="9" s="1"/>
  <c r="IXE28" i="9" s="1"/>
  <c r="IXG28" i="9" s="1"/>
  <c r="IXI28" i="9" s="1"/>
  <c r="IXK28" i="9" s="1"/>
  <c r="IXM28" i="9" s="1"/>
  <c r="IXO28" i="9" s="1"/>
  <c r="IXQ28" i="9" s="1"/>
  <c r="IXS28" i="9" s="1"/>
  <c r="IXU28" i="9" s="1"/>
  <c r="IXW28" i="9" s="1"/>
  <c r="IXY28" i="9" s="1"/>
  <c r="IYA28" i="9" s="1"/>
  <c r="IYC28" i="9" s="1"/>
  <c r="IYE28" i="9" s="1"/>
  <c r="IYG28" i="9" s="1"/>
  <c r="IYI28" i="9" s="1"/>
  <c r="IYK28" i="9" s="1"/>
  <c r="IYM28" i="9" s="1"/>
  <c r="IYO28" i="9" s="1"/>
  <c r="IYQ28" i="9" s="1"/>
  <c r="IYS28" i="9" s="1"/>
  <c r="IYU28" i="9" s="1"/>
  <c r="IYW28" i="9" s="1"/>
  <c r="IYY28" i="9" s="1"/>
  <c r="IZA28" i="9" s="1"/>
  <c r="IZC28" i="9" s="1"/>
  <c r="IZE28" i="9" s="1"/>
  <c r="IZG28" i="9" s="1"/>
  <c r="IZI28" i="9" s="1"/>
  <c r="IZK28" i="9" s="1"/>
  <c r="IZM28" i="9" s="1"/>
  <c r="IZO28" i="9" s="1"/>
  <c r="IZQ28" i="9" s="1"/>
  <c r="IZS28" i="9" s="1"/>
  <c r="IZU28" i="9" s="1"/>
  <c r="IZW28" i="9" s="1"/>
  <c r="IZY28" i="9" s="1"/>
  <c r="JAA28" i="9" s="1"/>
  <c r="JAC28" i="9" s="1"/>
  <c r="JAE28" i="9" s="1"/>
  <c r="JAG28" i="9" s="1"/>
  <c r="JAI28" i="9" s="1"/>
  <c r="JAK28" i="9" s="1"/>
  <c r="JAM28" i="9" s="1"/>
  <c r="JAO28" i="9" s="1"/>
  <c r="JAQ28" i="9" s="1"/>
  <c r="JAS28" i="9" s="1"/>
  <c r="JAU28" i="9" s="1"/>
  <c r="JAW28" i="9" s="1"/>
  <c r="JAY28" i="9" s="1"/>
  <c r="JBA28" i="9" s="1"/>
  <c r="JBC28" i="9" s="1"/>
  <c r="JBE28" i="9" s="1"/>
  <c r="JBG28" i="9" s="1"/>
  <c r="JBI28" i="9" s="1"/>
  <c r="JBK28" i="9" s="1"/>
  <c r="JBM28" i="9" s="1"/>
  <c r="JBO28" i="9" s="1"/>
  <c r="JBQ28" i="9" s="1"/>
  <c r="JBS28" i="9" s="1"/>
  <c r="JBU28" i="9" s="1"/>
  <c r="JBW28" i="9" s="1"/>
  <c r="JBY28" i="9" s="1"/>
  <c r="JCA28" i="9" s="1"/>
  <c r="JCC28" i="9" s="1"/>
  <c r="JCE28" i="9" s="1"/>
  <c r="JCG28" i="9" s="1"/>
  <c r="JCI28" i="9" s="1"/>
  <c r="JCK28" i="9" s="1"/>
  <c r="JCM28" i="9" s="1"/>
  <c r="JCO28" i="9" s="1"/>
  <c r="JCQ28" i="9" s="1"/>
  <c r="JCS28" i="9" s="1"/>
  <c r="JCU28" i="9" s="1"/>
  <c r="JCW28" i="9" s="1"/>
  <c r="JCY28" i="9" s="1"/>
  <c r="JDA28" i="9" s="1"/>
  <c r="JDC28" i="9" s="1"/>
  <c r="JDE28" i="9" s="1"/>
  <c r="JDG28" i="9" s="1"/>
  <c r="JDI28" i="9" s="1"/>
  <c r="JDK28" i="9" s="1"/>
  <c r="JDM28" i="9" s="1"/>
  <c r="JDO28" i="9" s="1"/>
  <c r="JDQ28" i="9" s="1"/>
  <c r="JDS28" i="9" s="1"/>
  <c r="JDU28" i="9" s="1"/>
  <c r="JDW28" i="9" s="1"/>
  <c r="JDY28" i="9" s="1"/>
  <c r="JEA28" i="9" s="1"/>
  <c r="JEC28" i="9" s="1"/>
  <c r="JEE28" i="9" s="1"/>
  <c r="JEG28" i="9" s="1"/>
  <c r="JEI28" i="9" s="1"/>
  <c r="JEK28" i="9" s="1"/>
  <c r="JEM28" i="9" s="1"/>
  <c r="JEO28" i="9" s="1"/>
  <c r="JEQ28" i="9" s="1"/>
  <c r="JES28" i="9" s="1"/>
  <c r="JEU28" i="9" s="1"/>
  <c r="JEW28" i="9" s="1"/>
  <c r="JEY28" i="9" s="1"/>
  <c r="JFA28" i="9" s="1"/>
  <c r="JFC28" i="9" s="1"/>
  <c r="JFE28" i="9" s="1"/>
  <c r="JFG28" i="9" s="1"/>
  <c r="JFI28" i="9" s="1"/>
  <c r="JFK28" i="9" s="1"/>
  <c r="JFM28" i="9" s="1"/>
  <c r="JFO28" i="9" s="1"/>
  <c r="JFQ28" i="9" s="1"/>
  <c r="JFS28" i="9" s="1"/>
  <c r="JFU28" i="9" s="1"/>
  <c r="JFW28" i="9" s="1"/>
  <c r="JFY28" i="9" s="1"/>
  <c r="JGA28" i="9" s="1"/>
  <c r="JGC28" i="9" s="1"/>
  <c r="JGE28" i="9" s="1"/>
  <c r="JGG28" i="9" s="1"/>
  <c r="JGI28" i="9" s="1"/>
  <c r="JGK28" i="9" s="1"/>
  <c r="JGM28" i="9" s="1"/>
  <c r="JGO28" i="9" s="1"/>
  <c r="JGQ28" i="9" s="1"/>
  <c r="JGS28" i="9" s="1"/>
  <c r="JGU28" i="9" s="1"/>
  <c r="JGW28" i="9" s="1"/>
  <c r="JGY28" i="9" s="1"/>
  <c r="JHA28" i="9" s="1"/>
  <c r="JHC28" i="9" s="1"/>
  <c r="JHE28" i="9" s="1"/>
  <c r="JHG28" i="9" s="1"/>
  <c r="JHI28" i="9" s="1"/>
  <c r="JHK28" i="9" s="1"/>
  <c r="JHM28" i="9" s="1"/>
  <c r="JHO28" i="9" s="1"/>
  <c r="JHQ28" i="9" s="1"/>
  <c r="JHS28" i="9" s="1"/>
  <c r="JHU28" i="9" s="1"/>
  <c r="JHW28" i="9" s="1"/>
  <c r="JHY28" i="9" s="1"/>
  <c r="JIA28" i="9" s="1"/>
  <c r="JIC28" i="9" s="1"/>
  <c r="JIE28" i="9" s="1"/>
  <c r="JIG28" i="9" s="1"/>
  <c r="JII28" i="9" s="1"/>
  <c r="JIK28" i="9" s="1"/>
  <c r="JIM28" i="9" s="1"/>
  <c r="JIO28" i="9" s="1"/>
  <c r="JIQ28" i="9" s="1"/>
  <c r="JIS28" i="9" s="1"/>
  <c r="JIU28" i="9" s="1"/>
  <c r="JIW28" i="9" s="1"/>
  <c r="JIY28" i="9" s="1"/>
  <c r="JJA28" i="9" s="1"/>
  <c r="JJC28" i="9" s="1"/>
  <c r="JJE28" i="9" s="1"/>
  <c r="JJG28" i="9" s="1"/>
  <c r="JJI28" i="9" s="1"/>
  <c r="JJK28" i="9" s="1"/>
  <c r="JJM28" i="9" s="1"/>
  <c r="JJO28" i="9" s="1"/>
  <c r="JJQ28" i="9" s="1"/>
  <c r="JJS28" i="9" s="1"/>
  <c r="JJU28" i="9" s="1"/>
  <c r="JJW28" i="9" s="1"/>
  <c r="JJY28" i="9" s="1"/>
  <c r="JKA28" i="9" s="1"/>
  <c r="JKC28" i="9" s="1"/>
  <c r="JKE28" i="9" s="1"/>
  <c r="JKG28" i="9" s="1"/>
  <c r="JKI28" i="9" s="1"/>
  <c r="JKK28" i="9" s="1"/>
  <c r="JKM28" i="9" s="1"/>
  <c r="JKO28" i="9" s="1"/>
  <c r="JKQ28" i="9" s="1"/>
  <c r="JKS28" i="9" s="1"/>
  <c r="JKU28" i="9" s="1"/>
  <c r="JKW28" i="9" s="1"/>
  <c r="JKY28" i="9" s="1"/>
  <c r="JLA28" i="9" s="1"/>
  <c r="JLC28" i="9" s="1"/>
  <c r="JLE28" i="9" s="1"/>
  <c r="JLG28" i="9" s="1"/>
  <c r="JLI28" i="9" s="1"/>
  <c r="JLK28" i="9" s="1"/>
  <c r="JLM28" i="9" s="1"/>
  <c r="JLO28" i="9" s="1"/>
  <c r="JLQ28" i="9" s="1"/>
  <c r="JLS28" i="9" s="1"/>
  <c r="JLU28" i="9" s="1"/>
  <c r="JLW28" i="9" s="1"/>
  <c r="JLY28" i="9" s="1"/>
  <c r="JMA28" i="9" s="1"/>
  <c r="JMC28" i="9" s="1"/>
  <c r="JME28" i="9" s="1"/>
  <c r="JMG28" i="9" s="1"/>
  <c r="JMI28" i="9" s="1"/>
  <c r="JMK28" i="9" s="1"/>
  <c r="JMM28" i="9" s="1"/>
  <c r="JMO28" i="9" s="1"/>
  <c r="JMQ28" i="9" s="1"/>
  <c r="JMS28" i="9" s="1"/>
  <c r="JMU28" i="9" s="1"/>
  <c r="JMW28" i="9" s="1"/>
  <c r="JMY28" i="9" s="1"/>
  <c r="JNA28" i="9" s="1"/>
  <c r="JNC28" i="9" s="1"/>
  <c r="JNE28" i="9" s="1"/>
  <c r="JNG28" i="9" s="1"/>
  <c r="JNI28" i="9" s="1"/>
  <c r="JNK28" i="9" s="1"/>
  <c r="JNM28" i="9" s="1"/>
  <c r="JNO28" i="9" s="1"/>
  <c r="JNQ28" i="9" s="1"/>
  <c r="JNS28" i="9" s="1"/>
  <c r="JNU28" i="9" s="1"/>
  <c r="JNW28" i="9" s="1"/>
  <c r="JNY28" i="9" s="1"/>
  <c r="JOA28" i="9" s="1"/>
  <c r="JOC28" i="9" s="1"/>
  <c r="JOE28" i="9" s="1"/>
  <c r="JOG28" i="9" s="1"/>
  <c r="JOI28" i="9" s="1"/>
  <c r="JOK28" i="9" s="1"/>
  <c r="JOM28" i="9" s="1"/>
  <c r="JOO28" i="9" s="1"/>
  <c r="JOQ28" i="9" s="1"/>
  <c r="JOS28" i="9" s="1"/>
  <c r="JOU28" i="9" s="1"/>
  <c r="JOW28" i="9" s="1"/>
  <c r="JOY28" i="9" s="1"/>
  <c r="JPA28" i="9" s="1"/>
  <c r="JPC28" i="9" s="1"/>
  <c r="JPE28" i="9" s="1"/>
  <c r="JPG28" i="9" s="1"/>
  <c r="JPI28" i="9" s="1"/>
  <c r="JPK28" i="9" s="1"/>
  <c r="JPM28" i="9" s="1"/>
  <c r="JPO28" i="9" s="1"/>
  <c r="JPQ28" i="9" s="1"/>
  <c r="JPS28" i="9" s="1"/>
  <c r="JPU28" i="9" s="1"/>
  <c r="JPW28" i="9" s="1"/>
  <c r="JPY28" i="9" s="1"/>
  <c r="JQA28" i="9" s="1"/>
  <c r="JQC28" i="9" s="1"/>
  <c r="JQE28" i="9" s="1"/>
  <c r="JQG28" i="9" s="1"/>
  <c r="JQI28" i="9" s="1"/>
  <c r="JQK28" i="9" s="1"/>
  <c r="JQM28" i="9" s="1"/>
  <c r="JQO28" i="9" s="1"/>
  <c r="JQQ28" i="9" s="1"/>
  <c r="JQS28" i="9" s="1"/>
  <c r="JQU28" i="9" s="1"/>
  <c r="JQW28" i="9" s="1"/>
  <c r="JQY28" i="9" s="1"/>
  <c r="JRA28" i="9" s="1"/>
  <c r="JRC28" i="9" s="1"/>
  <c r="JRE28" i="9" s="1"/>
  <c r="JRG28" i="9" s="1"/>
  <c r="JRI28" i="9" s="1"/>
  <c r="JRK28" i="9" s="1"/>
  <c r="JRM28" i="9" s="1"/>
  <c r="JRO28" i="9" s="1"/>
  <c r="JRQ28" i="9" s="1"/>
  <c r="JRS28" i="9" s="1"/>
  <c r="JRU28" i="9" s="1"/>
  <c r="JRW28" i="9" s="1"/>
  <c r="JRY28" i="9" s="1"/>
  <c r="JSA28" i="9" s="1"/>
  <c r="JSC28" i="9" s="1"/>
  <c r="JSE28" i="9" s="1"/>
  <c r="JSG28" i="9" s="1"/>
  <c r="JSI28" i="9" s="1"/>
  <c r="JSK28" i="9" s="1"/>
  <c r="JSM28" i="9" s="1"/>
  <c r="JSO28" i="9" s="1"/>
  <c r="JSQ28" i="9" s="1"/>
  <c r="JSS28" i="9" s="1"/>
  <c r="JSU28" i="9" s="1"/>
  <c r="JSW28" i="9" s="1"/>
  <c r="JSY28" i="9" s="1"/>
  <c r="JTA28" i="9" s="1"/>
  <c r="JTC28" i="9" s="1"/>
  <c r="JTE28" i="9" s="1"/>
  <c r="JTG28" i="9" s="1"/>
  <c r="JTI28" i="9" s="1"/>
  <c r="JTK28" i="9" s="1"/>
  <c r="JTM28" i="9" s="1"/>
  <c r="JTO28" i="9" s="1"/>
  <c r="JTQ28" i="9" s="1"/>
  <c r="JTS28" i="9" s="1"/>
  <c r="JTU28" i="9" s="1"/>
  <c r="JTW28" i="9" s="1"/>
  <c r="JTY28" i="9" s="1"/>
  <c r="JUA28" i="9" s="1"/>
  <c r="JUC28" i="9" s="1"/>
  <c r="JUE28" i="9" s="1"/>
  <c r="JUG28" i="9" s="1"/>
  <c r="JUI28" i="9" s="1"/>
  <c r="JUK28" i="9" s="1"/>
  <c r="JUM28" i="9" s="1"/>
  <c r="JUO28" i="9" s="1"/>
  <c r="JUQ28" i="9" s="1"/>
  <c r="JUS28" i="9" s="1"/>
  <c r="JUU28" i="9" s="1"/>
  <c r="JUW28" i="9" s="1"/>
  <c r="JUY28" i="9" s="1"/>
  <c r="JVA28" i="9" s="1"/>
  <c r="JVC28" i="9" s="1"/>
  <c r="JVE28" i="9" s="1"/>
  <c r="JVG28" i="9" s="1"/>
  <c r="JVI28" i="9" s="1"/>
  <c r="JVK28" i="9" s="1"/>
  <c r="JVM28" i="9" s="1"/>
  <c r="JVO28" i="9" s="1"/>
  <c r="JVQ28" i="9" s="1"/>
  <c r="JVS28" i="9" s="1"/>
  <c r="JVU28" i="9" s="1"/>
  <c r="JVW28" i="9" s="1"/>
  <c r="JVY28" i="9" s="1"/>
  <c r="JWA28" i="9" s="1"/>
  <c r="JWC28" i="9" s="1"/>
  <c r="JWE28" i="9" s="1"/>
  <c r="JWG28" i="9" s="1"/>
  <c r="JWI28" i="9" s="1"/>
  <c r="JWK28" i="9" s="1"/>
  <c r="JWM28" i="9" s="1"/>
  <c r="JWO28" i="9" s="1"/>
  <c r="JWQ28" i="9" s="1"/>
  <c r="JWS28" i="9" s="1"/>
  <c r="JWU28" i="9" s="1"/>
  <c r="JWW28" i="9" s="1"/>
  <c r="JWY28" i="9" s="1"/>
  <c r="JXA28" i="9" s="1"/>
  <c r="JXC28" i="9" s="1"/>
  <c r="JXE28" i="9" s="1"/>
  <c r="JXG28" i="9" s="1"/>
  <c r="JXI28" i="9" s="1"/>
  <c r="JXK28" i="9" s="1"/>
  <c r="JXM28" i="9" s="1"/>
  <c r="JXO28" i="9" s="1"/>
  <c r="JXQ28" i="9" s="1"/>
  <c r="JXS28" i="9" s="1"/>
  <c r="JXU28" i="9" s="1"/>
  <c r="JXW28" i="9" s="1"/>
  <c r="JXY28" i="9" s="1"/>
  <c r="JYA28" i="9" s="1"/>
  <c r="JYC28" i="9" s="1"/>
  <c r="JYE28" i="9" s="1"/>
  <c r="JYG28" i="9" s="1"/>
  <c r="JYI28" i="9" s="1"/>
  <c r="JYK28" i="9" s="1"/>
  <c r="JYM28" i="9" s="1"/>
  <c r="JYO28" i="9" s="1"/>
  <c r="JYQ28" i="9" s="1"/>
  <c r="JYS28" i="9" s="1"/>
  <c r="JYU28" i="9" s="1"/>
  <c r="JYW28" i="9" s="1"/>
  <c r="JYY28" i="9" s="1"/>
  <c r="JZA28" i="9" s="1"/>
  <c r="JZC28" i="9" s="1"/>
  <c r="JZE28" i="9" s="1"/>
  <c r="JZG28" i="9" s="1"/>
  <c r="JZI28" i="9" s="1"/>
  <c r="JZK28" i="9" s="1"/>
  <c r="JZM28" i="9" s="1"/>
  <c r="JZO28" i="9" s="1"/>
  <c r="JZQ28" i="9" s="1"/>
  <c r="JZS28" i="9" s="1"/>
  <c r="JZU28" i="9" s="1"/>
  <c r="JZW28" i="9" s="1"/>
  <c r="JZY28" i="9" s="1"/>
  <c r="KAA28" i="9" s="1"/>
  <c r="KAC28" i="9" s="1"/>
  <c r="KAE28" i="9" s="1"/>
  <c r="KAG28" i="9" s="1"/>
  <c r="KAI28" i="9" s="1"/>
  <c r="KAK28" i="9" s="1"/>
  <c r="KAM28" i="9" s="1"/>
  <c r="KAO28" i="9" s="1"/>
  <c r="KAQ28" i="9" s="1"/>
  <c r="KAS28" i="9" s="1"/>
  <c r="KAU28" i="9" s="1"/>
  <c r="KAW28" i="9" s="1"/>
  <c r="KAY28" i="9" s="1"/>
  <c r="KBA28" i="9" s="1"/>
  <c r="KBC28" i="9" s="1"/>
  <c r="KBE28" i="9" s="1"/>
  <c r="KBG28" i="9" s="1"/>
  <c r="KBI28" i="9" s="1"/>
  <c r="KBK28" i="9" s="1"/>
  <c r="KBM28" i="9" s="1"/>
  <c r="KBO28" i="9" s="1"/>
  <c r="KBQ28" i="9" s="1"/>
  <c r="KBS28" i="9" s="1"/>
  <c r="KBU28" i="9" s="1"/>
  <c r="KBW28" i="9" s="1"/>
  <c r="KBY28" i="9" s="1"/>
  <c r="KCA28" i="9" s="1"/>
  <c r="KCC28" i="9" s="1"/>
  <c r="KCE28" i="9" s="1"/>
  <c r="KCG28" i="9" s="1"/>
  <c r="KCI28" i="9" s="1"/>
  <c r="KCK28" i="9" s="1"/>
  <c r="KCM28" i="9" s="1"/>
  <c r="KCO28" i="9" s="1"/>
  <c r="KCQ28" i="9" s="1"/>
  <c r="KCS28" i="9" s="1"/>
  <c r="KCU28" i="9" s="1"/>
  <c r="KCW28" i="9" s="1"/>
  <c r="KCY28" i="9" s="1"/>
  <c r="KDA28" i="9" s="1"/>
  <c r="KDC28" i="9" s="1"/>
  <c r="KDE28" i="9" s="1"/>
  <c r="KDG28" i="9" s="1"/>
  <c r="KDI28" i="9" s="1"/>
  <c r="KDK28" i="9" s="1"/>
  <c r="KDM28" i="9" s="1"/>
  <c r="KDO28" i="9" s="1"/>
  <c r="KDQ28" i="9" s="1"/>
  <c r="KDS28" i="9" s="1"/>
  <c r="KDU28" i="9" s="1"/>
  <c r="KDW28" i="9" s="1"/>
  <c r="KDY28" i="9" s="1"/>
  <c r="KEA28" i="9" s="1"/>
  <c r="KEC28" i="9" s="1"/>
  <c r="KEE28" i="9" s="1"/>
  <c r="KEG28" i="9" s="1"/>
  <c r="KEI28" i="9" s="1"/>
  <c r="KEK28" i="9" s="1"/>
  <c r="KEM28" i="9" s="1"/>
  <c r="KEO28" i="9" s="1"/>
  <c r="KEQ28" i="9" s="1"/>
  <c r="KES28" i="9" s="1"/>
  <c r="KEU28" i="9" s="1"/>
  <c r="KEW28" i="9" s="1"/>
  <c r="KEY28" i="9" s="1"/>
  <c r="KFA28" i="9" s="1"/>
  <c r="KFC28" i="9" s="1"/>
  <c r="KFE28" i="9" s="1"/>
  <c r="KFG28" i="9" s="1"/>
  <c r="KFI28" i="9" s="1"/>
  <c r="KFK28" i="9" s="1"/>
  <c r="KFM28" i="9" s="1"/>
  <c r="KFO28" i="9" s="1"/>
  <c r="KFQ28" i="9" s="1"/>
  <c r="KFS28" i="9" s="1"/>
  <c r="KFU28" i="9" s="1"/>
  <c r="KFW28" i="9" s="1"/>
  <c r="KFY28" i="9" s="1"/>
  <c r="KGA28" i="9" s="1"/>
  <c r="KGC28" i="9" s="1"/>
  <c r="KGE28" i="9" s="1"/>
  <c r="KGG28" i="9" s="1"/>
  <c r="KGI28" i="9" s="1"/>
  <c r="KGK28" i="9" s="1"/>
  <c r="KGM28" i="9" s="1"/>
  <c r="KGO28" i="9" s="1"/>
  <c r="KGQ28" i="9" s="1"/>
  <c r="KGS28" i="9" s="1"/>
  <c r="KGU28" i="9" s="1"/>
  <c r="KGW28" i="9" s="1"/>
  <c r="KGY28" i="9" s="1"/>
  <c r="KHA28" i="9" s="1"/>
  <c r="KHC28" i="9" s="1"/>
  <c r="KHE28" i="9" s="1"/>
  <c r="KHG28" i="9" s="1"/>
  <c r="KHI28" i="9" s="1"/>
  <c r="KHK28" i="9" s="1"/>
  <c r="KHM28" i="9" s="1"/>
  <c r="KHO28" i="9" s="1"/>
  <c r="KHQ28" i="9" s="1"/>
  <c r="KHS28" i="9" s="1"/>
  <c r="KHU28" i="9" s="1"/>
  <c r="KHW28" i="9" s="1"/>
  <c r="KHY28" i="9" s="1"/>
  <c r="KIA28" i="9" s="1"/>
  <c r="KIC28" i="9" s="1"/>
  <c r="KIE28" i="9" s="1"/>
  <c r="KIG28" i="9" s="1"/>
  <c r="KII28" i="9" s="1"/>
  <c r="KIK28" i="9" s="1"/>
  <c r="KIM28" i="9" s="1"/>
  <c r="KIO28" i="9" s="1"/>
  <c r="KIQ28" i="9" s="1"/>
  <c r="KIS28" i="9" s="1"/>
  <c r="KIU28" i="9" s="1"/>
  <c r="KIW28" i="9" s="1"/>
  <c r="KIY28" i="9" s="1"/>
  <c r="KJA28" i="9" s="1"/>
  <c r="KJC28" i="9" s="1"/>
  <c r="KJE28" i="9" s="1"/>
  <c r="KJG28" i="9" s="1"/>
  <c r="KJI28" i="9" s="1"/>
  <c r="KJK28" i="9" s="1"/>
  <c r="KJM28" i="9" s="1"/>
  <c r="KJO28" i="9" s="1"/>
  <c r="KJQ28" i="9" s="1"/>
  <c r="KJS28" i="9" s="1"/>
  <c r="KJU28" i="9" s="1"/>
  <c r="KJW28" i="9" s="1"/>
  <c r="KJY28" i="9" s="1"/>
  <c r="KKA28" i="9" s="1"/>
  <c r="KKC28" i="9" s="1"/>
  <c r="KKE28" i="9" s="1"/>
  <c r="KKG28" i="9" s="1"/>
  <c r="KKI28" i="9" s="1"/>
  <c r="KKK28" i="9" s="1"/>
  <c r="KKM28" i="9" s="1"/>
  <c r="KKO28" i="9" s="1"/>
  <c r="KKQ28" i="9" s="1"/>
  <c r="KKS28" i="9" s="1"/>
  <c r="KKU28" i="9" s="1"/>
  <c r="KKW28" i="9" s="1"/>
  <c r="KKY28" i="9" s="1"/>
  <c r="KLA28" i="9" s="1"/>
  <c r="KLC28" i="9" s="1"/>
  <c r="KLE28" i="9" s="1"/>
  <c r="KLG28" i="9" s="1"/>
  <c r="KLI28" i="9" s="1"/>
  <c r="KLK28" i="9" s="1"/>
  <c r="KLM28" i="9" s="1"/>
  <c r="KLO28" i="9" s="1"/>
  <c r="KLQ28" i="9" s="1"/>
  <c r="KLS28" i="9" s="1"/>
  <c r="KLU28" i="9" s="1"/>
  <c r="KLW28" i="9" s="1"/>
  <c r="KLY28" i="9" s="1"/>
  <c r="KMA28" i="9" s="1"/>
  <c r="KMC28" i="9" s="1"/>
  <c r="KME28" i="9" s="1"/>
  <c r="KMG28" i="9" s="1"/>
  <c r="KMI28" i="9" s="1"/>
  <c r="KMK28" i="9" s="1"/>
  <c r="KMM28" i="9" s="1"/>
  <c r="KMO28" i="9" s="1"/>
  <c r="KMQ28" i="9" s="1"/>
  <c r="KMS28" i="9" s="1"/>
  <c r="KMU28" i="9" s="1"/>
  <c r="KMW28" i="9" s="1"/>
  <c r="KMY28" i="9" s="1"/>
  <c r="KNA28" i="9" s="1"/>
  <c r="KNC28" i="9" s="1"/>
  <c r="KNE28" i="9" s="1"/>
  <c r="KNG28" i="9" s="1"/>
  <c r="KNI28" i="9" s="1"/>
  <c r="KNK28" i="9" s="1"/>
  <c r="KNM28" i="9" s="1"/>
  <c r="KNO28" i="9" s="1"/>
  <c r="KNQ28" i="9" s="1"/>
  <c r="KNS28" i="9" s="1"/>
  <c r="KNU28" i="9" s="1"/>
  <c r="KNW28" i="9" s="1"/>
  <c r="KNY28" i="9" s="1"/>
  <c r="KOA28" i="9" s="1"/>
  <c r="KOC28" i="9" s="1"/>
  <c r="KOE28" i="9" s="1"/>
  <c r="KOG28" i="9" s="1"/>
  <c r="KOI28" i="9" s="1"/>
  <c r="KOK28" i="9" s="1"/>
  <c r="KOM28" i="9" s="1"/>
  <c r="KOO28" i="9" s="1"/>
  <c r="KOQ28" i="9" s="1"/>
  <c r="KOS28" i="9" s="1"/>
  <c r="KOU28" i="9" s="1"/>
  <c r="KOW28" i="9" s="1"/>
  <c r="KOY28" i="9" s="1"/>
  <c r="KPA28" i="9" s="1"/>
  <c r="KPC28" i="9" s="1"/>
  <c r="KPE28" i="9" s="1"/>
  <c r="KPG28" i="9" s="1"/>
  <c r="KPI28" i="9" s="1"/>
  <c r="KPK28" i="9" s="1"/>
  <c r="KPM28" i="9" s="1"/>
  <c r="KPO28" i="9" s="1"/>
  <c r="KPQ28" i="9" s="1"/>
  <c r="KPS28" i="9" s="1"/>
  <c r="KPU28" i="9" s="1"/>
  <c r="KPW28" i="9" s="1"/>
  <c r="KPY28" i="9" s="1"/>
  <c r="KQA28" i="9" s="1"/>
  <c r="KQC28" i="9" s="1"/>
  <c r="KQE28" i="9" s="1"/>
  <c r="KQG28" i="9" s="1"/>
  <c r="KQI28" i="9" s="1"/>
  <c r="KQK28" i="9" s="1"/>
  <c r="KQM28" i="9" s="1"/>
  <c r="KQO28" i="9" s="1"/>
  <c r="KQQ28" i="9" s="1"/>
  <c r="KQS28" i="9" s="1"/>
  <c r="KQU28" i="9" s="1"/>
  <c r="KQW28" i="9" s="1"/>
  <c r="KQY28" i="9" s="1"/>
  <c r="KRA28" i="9" s="1"/>
  <c r="KRC28" i="9" s="1"/>
  <c r="KRE28" i="9" s="1"/>
  <c r="KRG28" i="9" s="1"/>
  <c r="KRI28" i="9" s="1"/>
  <c r="KRK28" i="9" s="1"/>
  <c r="KRM28" i="9" s="1"/>
  <c r="KRO28" i="9" s="1"/>
  <c r="KRQ28" i="9" s="1"/>
  <c r="KRS28" i="9" s="1"/>
  <c r="KRU28" i="9" s="1"/>
  <c r="KRW28" i="9" s="1"/>
  <c r="KRY28" i="9" s="1"/>
  <c r="KSA28" i="9" s="1"/>
  <c r="KSC28" i="9" s="1"/>
  <c r="KSE28" i="9" s="1"/>
  <c r="KSG28" i="9" s="1"/>
  <c r="KSI28" i="9" s="1"/>
  <c r="KSK28" i="9" s="1"/>
  <c r="KSM28" i="9" s="1"/>
  <c r="KSO28" i="9" s="1"/>
  <c r="KSQ28" i="9" s="1"/>
  <c r="KSS28" i="9" s="1"/>
  <c r="KSU28" i="9" s="1"/>
  <c r="KSW28" i="9" s="1"/>
  <c r="KSY28" i="9" s="1"/>
  <c r="KTA28" i="9" s="1"/>
  <c r="KTC28" i="9" s="1"/>
  <c r="KTE28" i="9" s="1"/>
  <c r="KTG28" i="9" s="1"/>
  <c r="KTI28" i="9" s="1"/>
  <c r="KTK28" i="9" s="1"/>
  <c r="KTM28" i="9" s="1"/>
  <c r="KTO28" i="9" s="1"/>
  <c r="KTQ28" i="9" s="1"/>
  <c r="KTS28" i="9" s="1"/>
  <c r="KTU28" i="9" s="1"/>
  <c r="KTW28" i="9" s="1"/>
  <c r="KTY28" i="9" s="1"/>
  <c r="KUA28" i="9" s="1"/>
  <c r="KUC28" i="9" s="1"/>
  <c r="KUE28" i="9" s="1"/>
  <c r="KUG28" i="9" s="1"/>
  <c r="KUI28" i="9" s="1"/>
  <c r="KUK28" i="9" s="1"/>
  <c r="KUM28" i="9" s="1"/>
  <c r="KUO28" i="9" s="1"/>
  <c r="KUQ28" i="9" s="1"/>
  <c r="KUS28" i="9" s="1"/>
  <c r="KUU28" i="9" s="1"/>
  <c r="KUW28" i="9" s="1"/>
  <c r="KUY28" i="9" s="1"/>
  <c r="KVA28" i="9" s="1"/>
  <c r="KVC28" i="9" s="1"/>
  <c r="KVE28" i="9" s="1"/>
  <c r="KVG28" i="9" s="1"/>
  <c r="KVI28" i="9" s="1"/>
  <c r="KVK28" i="9" s="1"/>
  <c r="KVM28" i="9" s="1"/>
  <c r="KVO28" i="9" s="1"/>
  <c r="KVQ28" i="9" s="1"/>
  <c r="KVS28" i="9" s="1"/>
  <c r="KVU28" i="9" s="1"/>
  <c r="KVW28" i="9" s="1"/>
  <c r="KVY28" i="9" s="1"/>
  <c r="KWA28" i="9" s="1"/>
  <c r="KWC28" i="9" s="1"/>
  <c r="KWE28" i="9" s="1"/>
  <c r="KWG28" i="9" s="1"/>
  <c r="KWI28" i="9" s="1"/>
  <c r="KWK28" i="9" s="1"/>
  <c r="KWM28" i="9" s="1"/>
  <c r="KWO28" i="9" s="1"/>
  <c r="KWQ28" i="9" s="1"/>
  <c r="KWS28" i="9" s="1"/>
  <c r="KWU28" i="9" s="1"/>
  <c r="KWW28" i="9" s="1"/>
  <c r="KWY28" i="9" s="1"/>
  <c r="KXA28" i="9" s="1"/>
  <c r="KXC28" i="9" s="1"/>
  <c r="KXE28" i="9" s="1"/>
  <c r="KXG28" i="9" s="1"/>
  <c r="KXI28" i="9" s="1"/>
  <c r="KXK28" i="9" s="1"/>
  <c r="KXM28" i="9" s="1"/>
  <c r="KXO28" i="9" s="1"/>
  <c r="KXQ28" i="9" s="1"/>
  <c r="KXS28" i="9" s="1"/>
  <c r="KXU28" i="9" s="1"/>
  <c r="KXW28" i="9" s="1"/>
  <c r="KXY28" i="9" s="1"/>
  <c r="KYA28" i="9" s="1"/>
  <c r="KYC28" i="9" s="1"/>
  <c r="KYE28" i="9" s="1"/>
  <c r="KYG28" i="9" s="1"/>
  <c r="KYI28" i="9" s="1"/>
  <c r="KYK28" i="9" s="1"/>
  <c r="KYM28" i="9" s="1"/>
  <c r="KYO28" i="9" s="1"/>
  <c r="KYQ28" i="9" s="1"/>
  <c r="KYS28" i="9" s="1"/>
  <c r="KYU28" i="9" s="1"/>
  <c r="KYW28" i="9" s="1"/>
  <c r="KYY28" i="9" s="1"/>
  <c r="KZA28" i="9" s="1"/>
  <c r="KZC28" i="9" s="1"/>
  <c r="KZE28" i="9" s="1"/>
  <c r="KZG28" i="9" s="1"/>
  <c r="KZI28" i="9" s="1"/>
  <c r="KZK28" i="9" s="1"/>
  <c r="KZM28" i="9" s="1"/>
  <c r="KZO28" i="9" s="1"/>
  <c r="KZQ28" i="9" s="1"/>
  <c r="KZS28" i="9" s="1"/>
  <c r="KZU28" i="9" s="1"/>
  <c r="KZW28" i="9" s="1"/>
  <c r="KZY28" i="9" s="1"/>
  <c r="LAA28" i="9" s="1"/>
  <c r="LAC28" i="9" s="1"/>
  <c r="LAE28" i="9" s="1"/>
  <c r="LAG28" i="9" s="1"/>
  <c r="LAI28" i="9" s="1"/>
  <c r="LAK28" i="9" s="1"/>
  <c r="LAM28" i="9" s="1"/>
  <c r="LAO28" i="9" s="1"/>
  <c r="LAQ28" i="9" s="1"/>
  <c r="LAS28" i="9" s="1"/>
  <c r="LAU28" i="9" s="1"/>
  <c r="LAW28" i="9" s="1"/>
  <c r="LAY28" i="9" s="1"/>
  <c r="LBA28" i="9" s="1"/>
  <c r="LBC28" i="9" s="1"/>
  <c r="LBE28" i="9" s="1"/>
  <c r="LBG28" i="9" s="1"/>
  <c r="LBI28" i="9" s="1"/>
  <c r="LBK28" i="9" s="1"/>
  <c r="LBM28" i="9" s="1"/>
  <c r="LBO28" i="9" s="1"/>
  <c r="LBQ28" i="9" s="1"/>
  <c r="LBS28" i="9" s="1"/>
  <c r="LBU28" i="9" s="1"/>
  <c r="LBW28" i="9" s="1"/>
  <c r="LBY28" i="9" s="1"/>
  <c r="LCA28" i="9" s="1"/>
  <c r="LCC28" i="9" s="1"/>
  <c r="LCE28" i="9" s="1"/>
  <c r="LCG28" i="9" s="1"/>
  <c r="LCI28" i="9" s="1"/>
  <c r="LCK28" i="9" s="1"/>
  <c r="LCM28" i="9" s="1"/>
  <c r="LCO28" i="9" s="1"/>
  <c r="LCQ28" i="9" s="1"/>
  <c r="LCS28" i="9" s="1"/>
  <c r="LCU28" i="9" s="1"/>
  <c r="LCW28" i="9" s="1"/>
  <c r="LCY28" i="9" s="1"/>
  <c r="LDA28" i="9" s="1"/>
  <c r="LDC28" i="9" s="1"/>
  <c r="LDE28" i="9" s="1"/>
  <c r="LDG28" i="9" s="1"/>
  <c r="LDI28" i="9" s="1"/>
  <c r="LDK28" i="9" s="1"/>
  <c r="LDM28" i="9" s="1"/>
  <c r="LDO28" i="9" s="1"/>
  <c r="LDQ28" i="9" s="1"/>
  <c r="LDS28" i="9" s="1"/>
  <c r="LDU28" i="9" s="1"/>
  <c r="LDW28" i="9" s="1"/>
  <c r="LDY28" i="9" s="1"/>
  <c r="LEA28" i="9" s="1"/>
  <c r="LEC28" i="9" s="1"/>
  <c r="LEE28" i="9" s="1"/>
  <c r="LEG28" i="9" s="1"/>
  <c r="LEI28" i="9" s="1"/>
  <c r="LEK28" i="9" s="1"/>
  <c r="LEM28" i="9" s="1"/>
  <c r="LEO28" i="9" s="1"/>
  <c r="LEQ28" i="9" s="1"/>
  <c r="LES28" i="9" s="1"/>
  <c r="LEU28" i="9" s="1"/>
  <c r="LEW28" i="9" s="1"/>
  <c r="LEY28" i="9" s="1"/>
  <c r="LFA28" i="9" s="1"/>
  <c r="LFC28" i="9" s="1"/>
  <c r="LFE28" i="9" s="1"/>
  <c r="LFG28" i="9" s="1"/>
  <c r="LFI28" i="9" s="1"/>
  <c r="LFK28" i="9" s="1"/>
  <c r="LFM28" i="9" s="1"/>
  <c r="LFO28" i="9" s="1"/>
  <c r="LFQ28" i="9" s="1"/>
  <c r="LFS28" i="9" s="1"/>
  <c r="LFU28" i="9" s="1"/>
  <c r="LFW28" i="9" s="1"/>
  <c r="LFY28" i="9" s="1"/>
  <c r="LGA28" i="9" s="1"/>
  <c r="LGC28" i="9" s="1"/>
  <c r="LGE28" i="9" s="1"/>
  <c r="LGG28" i="9" s="1"/>
  <c r="LGI28" i="9" s="1"/>
  <c r="LGK28" i="9" s="1"/>
  <c r="LGM28" i="9" s="1"/>
  <c r="LGO28" i="9" s="1"/>
  <c r="LGQ28" i="9" s="1"/>
  <c r="LGS28" i="9" s="1"/>
  <c r="LGU28" i="9" s="1"/>
  <c r="LGW28" i="9" s="1"/>
  <c r="LGY28" i="9" s="1"/>
  <c r="LHA28" i="9" s="1"/>
  <c r="LHC28" i="9" s="1"/>
  <c r="LHE28" i="9" s="1"/>
  <c r="LHG28" i="9" s="1"/>
  <c r="LHI28" i="9" s="1"/>
  <c r="LHK28" i="9" s="1"/>
  <c r="LHM28" i="9" s="1"/>
  <c r="LHO28" i="9" s="1"/>
  <c r="LHQ28" i="9" s="1"/>
  <c r="LHS28" i="9" s="1"/>
  <c r="LHU28" i="9" s="1"/>
  <c r="LHW28" i="9" s="1"/>
  <c r="LHY28" i="9" s="1"/>
  <c r="LIA28" i="9" s="1"/>
  <c r="LIC28" i="9" s="1"/>
  <c r="LIE28" i="9" s="1"/>
  <c r="LIG28" i="9" s="1"/>
  <c r="LII28" i="9" s="1"/>
  <c r="LIK28" i="9" s="1"/>
  <c r="LIM28" i="9" s="1"/>
  <c r="LIO28" i="9" s="1"/>
  <c r="LIQ28" i="9" s="1"/>
  <c r="LIS28" i="9" s="1"/>
  <c r="LIU28" i="9" s="1"/>
  <c r="LIW28" i="9" s="1"/>
  <c r="LIY28" i="9" s="1"/>
  <c r="LJA28" i="9" s="1"/>
  <c r="LJC28" i="9" s="1"/>
  <c r="LJE28" i="9" s="1"/>
  <c r="LJG28" i="9" s="1"/>
  <c r="LJI28" i="9" s="1"/>
  <c r="LJK28" i="9" s="1"/>
  <c r="LJM28" i="9" s="1"/>
  <c r="LJO28" i="9" s="1"/>
  <c r="LJQ28" i="9" s="1"/>
  <c r="LJS28" i="9" s="1"/>
  <c r="LJU28" i="9" s="1"/>
  <c r="LJW28" i="9" s="1"/>
  <c r="LJY28" i="9" s="1"/>
  <c r="LKA28" i="9" s="1"/>
  <c r="LKC28" i="9" s="1"/>
  <c r="LKE28" i="9" s="1"/>
  <c r="LKG28" i="9" s="1"/>
  <c r="LKI28" i="9" s="1"/>
  <c r="LKK28" i="9" s="1"/>
  <c r="LKM28" i="9" s="1"/>
  <c r="LKO28" i="9" s="1"/>
  <c r="LKQ28" i="9" s="1"/>
  <c r="LKS28" i="9" s="1"/>
  <c r="LKU28" i="9" s="1"/>
  <c r="LKW28" i="9" s="1"/>
  <c r="LKY28" i="9" s="1"/>
  <c r="LLA28" i="9" s="1"/>
  <c r="LLC28" i="9" s="1"/>
  <c r="LLE28" i="9" s="1"/>
  <c r="LLG28" i="9" s="1"/>
  <c r="LLI28" i="9" s="1"/>
  <c r="LLK28" i="9" s="1"/>
  <c r="LLM28" i="9" s="1"/>
  <c r="LLO28" i="9" s="1"/>
  <c r="LLQ28" i="9" s="1"/>
  <c r="LLS28" i="9" s="1"/>
  <c r="LLU28" i="9" s="1"/>
  <c r="LLW28" i="9" s="1"/>
  <c r="LLY28" i="9" s="1"/>
  <c r="LMA28" i="9" s="1"/>
  <c r="LMC28" i="9" s="1"/>
  <c r="LME28" i="9" s="1"/>
  <c r="LMG28" i="9" s="1"/>
  <c r="LMI28" i="9" s="1"/>
  <c r="LMK28" i="9" s="1"/>
  <c r="LMM28" i="9" s="1"/>
  <c r="LMO28" i="9" s="1"/>
  <c r="LMQ28" i="9" s="1"/>
  <c r="LMS28" i="9" s="1"/>
  <c r="LMU28" i="9" s="1"/>
  <c r="LMW28" i="9" s="1"/>
  <c r="LMY28" i="9" s="1"/>
  <c r="LNA28" i="9" s="1"/>
  <c r="LNC28" i="9" s="1"/>
  <c r="LNE28" i="9" s="1"/>
  <c r="LNG28" i="9" s="1"/>
  <c r="LNI28" i="9" s="1"/>
  <c r="LNK28" i="9" s="1"/>
  <c r="LNM28" i="9" s="1"/>
  <c r="LNO28" i="9" s="1"/>
  <c r="LNQ28" i="9" s="1"/>
  <c r="LNS28" i="9" s="1"/>
  <c r="LNU28" i="9" s="1"/>
  <c r="LNW28" i="9" s="1"/>
  <c r="LNY28" i="9" s="1"/>
  <c r="LOA28" i="9" s="1"/>
  <c r="LOC28" i="9" s="1"/>
  <c r="LOE28" i="9" s="1"/>
  <c r="LOG28" i="9" s="1"/>
  <c r="LOI28" i="9" s="1"/>
  <c r="LOK28" i="9" s="1"/>
  <c r="LOM28" i="9" s="1"/>
  <c r="LOO28" i="9" s="1"/>
  <c r="LOQ28" i="9" s="1"/>
  <c r="LOS28" i="9" s="1"/>
  <c r="LOU28" i="9" s="1"/>
  <c r="LOW28" i="9" s="1"/>
  <c r="LOY28" i="9" s="1"/>
  <c r="LPA28" i="9" s="1"/>
  <c r="LPC28" i="9" s="1"/>
  <c r="LPE28" i="9" s="1"/>
  <c r="LPG28" i="9" s="1"/>
  <c r="LPI28" i="9" s="1"/>
  <c r="LPK28" i="9" s="1"/>
  <c r="LPM28" i="9" s="1"/>
  <c r="LPO28" i="9" s="1"/>
  <c r="LPQ28" i="9" s="1"/>
  <c r="LPS28" i="9" s="1"/>
  <c r="LPU28" i="9" s="1"/>
  <c r="LPW28" i="9" s="1"/>
  <c r="LPY28" i="9" s="1"/>
  <c r="LQA28" i="9" s="1"/>
  <c r="LQC28" i="9" s="1"/>
  <c r="LQE28" i="9" s="1"/>
  <c r="LQG28" i="9" s="1"/>
  <c r="LQI28" i="9" s="1"/>
  <c r="LQK28" i="9" s="1"/>
  <c r="LQM28" i="9" s="1"/>
  <c r="LQO28" i="9" s="1"/>
  <c r="LQQ28" i="9" s="1"/>
  <c r="LQS28" i="9" s="1"/>
  <c r="LQU28" i="9" s="1"/>
  <c r="LQW28" i="9" s="1"/>
  <c r="LQY28" i="9" s="1"/>
  <c r="LRA28" i="9" s="1"/>
  <c r="LRC28" i="9" s="1"/>
  <c r="LRE28" i="9" s="1"/>
  <c r="LRG28" i="9" s="1"/>
  <c r="LRI28" i="9" s="1"/>
  <c r="LRK28" i="9" s="1"/>
  <c r="LRM28" i="9" s="1"/>
  <c r="LRO28" i="9" s="1"/>
  <c r="LRQ28" i="9" s="1"/>
  <c r="LRS28" i="9" s="1"/>
  <c r="LRU28" i="9" s="1"/>
  <c r="LRW28" i="9" s="1"/>
  <c r="LRY28" i="9" s="1"/>
  <c r="LSA28" i="9" s="1"/>
  <c r="LSC28" i="9" s="1"/>
  <c r="LSE28" i="9" s="1"/>
  <c r="LSG28" i="9" s="1"/>
  <c r="LSI28" i="9" s="1"/>
  <c r="LSK28" i="9" s="1"/>
  <c r="LSM28" i="9" s="1"/>
  <c r="LSO28" i="9" s="1"/>
  <c r="LSQ28" i="9" s="1"/>
  <c r="LSS28" i="9" s="1"/>
  <c r="LSU28" i="9" s="1"/>
  <c r="LSW28" i="9" s="1"/>
  <c r="LSY28" i="9" s="1"/>
  <c r="LTA28" i="9" s="1"/>
  <c r="LTC28" i="9" s="1"/>
  <c r="LTE28" i="9" s="1"/>
  <c r="LTG28" i="9" s="1"/>
  <c r="LTI28" i="9" s="1"/>
  <c r="LTK28" i="9" s="1"/>
  <c r="LTM28" i="9" s="1"/>
  <c r="LTO28" i="9" s="1"/>
  <c r="LTQ28" i="9" s="1"/>
  <c r="LTS28" i="9" s="1"/>
  <c r="LTU28" i="9" s="1"/>
  <c r="LTW28" i="9" s="1"/>
  <c r="LTY28" i="9" s="1"/>
  <c r="LUA28" i="9" s="1"/>
  <c r="LUC28" i="9" s="1"/>
  <c r="LUE28" i="9" s="1"/>
  <c r="LUG28" i="9" s="1"/>
  <c r="LUI28" i="9" s="1"/>
  <c r="LUK28" i="9" s="1"/>
  <c r="LUM28" i="9" s="1"/>
  <c r="LUO28" i="9" s="1"/>
  <c r="LUQ28" i="9" s="1"/>
  <c r="LUS28" i="9" s="1"/>
  <c r="LUU28" i="9" s="1"/>
  <c r="LUW28" i="9" s="1"/>
  <c r="LUY28" i="9" s="1"/>
  <c r="LVA28" i="9" s="1"/>
  <c r="LVC28" i="9" s="1"/>
  <c r="LVE28" i="9" s="1"/>
  <c r="LVG28" i="9" s="1"/>
  <c r="LVI28" i="9" s="1"/>
  <c r="LVK28" i="9" s="1"/>
  <c r="LVM28" i="9" s="1"/>
  <c r="LVO28" i="9" s="1"/>
  <c r="LVQ28" i="9" s="1"/>
  <c r="LVS28" i="9" s="1"/>
  <c r="LVU28" i="9" s="1"/>
  <c r="LVW28" i="9" s="1"/>
  <c r="LVY28" i="9" s="1"/>
  <c r="LWA28" i="9" s="1"/>
  <c r="LWC28" i="9" s="1"/>
  <c r="LWE28" i="9" s="1"/>
  <c r="LWG28" i="9" s="1"/>
  <c r="LWI28" i="9" s="1"/>
  <c r="LWK28" i="9" s="1"/>
  <c r="LWM28" i="9" s="1"/>
  <c r="LWO28" i="9" s="1"/>
  <c r="LWQ28" i="9" s="1"/>
  <c r="LWS28" i="9" s="1"/>
  <c r="LWU28" i="9" s="1"/>
  <c r="LWW28" i="9" s="1"/>
  <c r="LWY28" i="9" s="1"/>
  <c r="LXA28" i="9" s="1"/>
  <c r="LXC28" i="9" s="1"/>
  <c r="LXE28" i="9" s="1"/>
  <c r="LXG28" i="9" s="1"/>
  <c r="LXI28" i="9" s="1"/>
  <c r="LXK28" i="9" s="1"/>
  <c r="LXM28" i="9" s="1"/>
  <c r="LXO28" i="9" s="1"/>
  <c r="LXQ28" i="9" s="1"/>
  <c r="LXS28" i="9" s="1"/>
  <c r="LXU28" i="9" s="1"/>
  <c r="LXW28" i="9" s="1"/>
  <c r="LXY28" i="9" s="1"/>
  <c r="LYA28" i="9" s="1"/>
  <c r="LYC28" i="9" s="1"/>
  <c r="LYE28" i="9" s="1"/>
  <c r="LYG28" i="9" s="1"/>
  <c r="LYI28" i="9" s="1"/>
  <c r="LYK28" i="9" s="1"/>
  <c r="LYM28" i="9" s="1"/>
  <c r="LYO28" i="9" s="1"/>
  <c r="LYQ28" i="9" s="1"/>
  <c r="LYS28" i="9" s="1"/>
  <c r="LYU28" i="9" s="1"/>
  <c r="LYW28" i="9" s="1"/>
  <c r="LYY28" i="9" s="1"/>
  <c r="LZA28" i="9" s="1"/>
  <c r="LZC28" i="9" s="1"/>
  <c r="LZE28" i="9" s="1"/>
  <c r="LZG28" i="9" s="1"/>
  <c r="LZI28" i="9" s="1"/>
  <c r="LZK28" i="9" s="1"/>
  <c r="LZM28" i="9" s="1"/>
  <c r="LZO28" i="9" s="1"/>
  <c r="LZQ28" i="9" s="1"/>
  <c r="LZS28" i="9" s="1"/>
  <c r="LZU28" i="9" s="1"/>
  <c r="LZW28" i="9" s="1"/>
  <c r="LZY28" i="9" s="1"/>
  <c r="MAA28" i="9" s="1"/>
  <c r="MAC28" i="9" s="1"/>
  <c r="MAE28" i="9" s="1"/>
  <c r="MAG28" i="9" s="1"/>
  <c r="MAI28" i="9" s="1"/>
  <c r="MAK28" i="9" s="1"/>
  <c r="MAM28" i="9" s="1"/>
  <c r="MAO28" i="9" s="1"/>
  <c r="MAQ28" i="9" s="1"/>
  <c r="MAS28" i="9" s="1"/>
  <c r="MAU28" i="9" s="1"/>
  <c r="MAW28" i="9" s="1"/>
  <c r="MAY28" i="9" s="1"/>
  <c r="MBA28" i="9" s="1"/>
  <c r="MBC28" i="9" s="1"/>
  <c r="MBE28" i="9" s="1"/>
  <c r="MBG28" i="9" s="1"/>
  <c r="MBI28" i="9" s="1"/>
  <c r="MBK28" i="9" s="1"/>
  <c r="MBM28" i="9" s="1"/>
  <c r="MBO28" i="9" s="1"/>
  <c r="MBQ28" i="9" s="1"/>
  <c r="MBS28" i="9" s="1"/>
  <c r="MBU28" i="9" s="1"/>
  <c r="MBW28" i="9" s="1"/>
  <c r="MBY28" i="9" s="1"/>
  <c r="MCA28" i="9" s="1"/>
  <c r="MCC28" i="9" s="1"/>
  <c r="MCE28" i="9" s="1"/>
  <c r="MCG28" i="9" s="1"/>
  <c r="MCI28" i="9" s="1"/>
  <c r="MCK28" i="9" s="1"/>
  <c r="MCM28" i="9" s="1"/>
  <c r="MCO28" i="9" s="1"/>
  <c r="MCQ28" i="9" s="1"/>
  <c r="MCS28" i="9" s="1"/>
  <c r="MCU28" i="9" s="1"/>
  <c r="MCW28" i="9" s="1"/>
  <c r="MCY28" i="9" s="1"/>
  <c r="MDA28" i="9" s="1"/>
  <c r="MDC28" i="9" s="1"/>
  <c r="MDE28" i="9" s="1"/>
  <c r="MDG28" i="9" s="1"/>
  <c r="MDI28" i="9" s="1"/>
  <c r="MDK28" i="9" s="1"/>
  <c r="MDM28" i="9" s="1"/>
  <c r="MDO28" i="9" s="1"/>
  <c r="MDQ28" i="9" s="1"/>
  <c r="MDS28" i="9" s="1"/>
  <c r="MDU28" i="9" s="1"/>
  <c r="MDW28" i="9" s="1"/>
  <c r="MDY28" i="9" s="1"/>
  <c r="MEA28" i="9" s="1"/>
  <c r="MEC28" i="9" s="1"/>
  <c r="MEE28" i="9" s="1"/>
  <c r="MEG28" i="9" s="1"/>
  <c r="MEI28" i="9" s="1"/>
  <c r="MEK28" i="9" s="1"/>
  <c r="MEM28" i="9" s="1"/>
  <c r="MEO28" i="9" s="1"/>
  <c r="MEQ28" i="9" s="1"/>
  <c r="MES28" i="9" s="1"/>
  <c r="MEU28" i="9" s="1"/>
  <c r="MEW28" i="9" s="1"/>
  <c r="MEY28" i="9" s="1"/>
  <c r="MFA28" i="9" s="1"/>
  <c r="MFC28" i="9" s="1"/>
  <c r="MFE28" i="9" s="1"/>
  <c r="MFG28" i="9" s="1"/>
  <c r="MFI28" i="9" s="1"/>
  <c r="MFK28" i="9" s="1"/>
  <c r="MFM28" i="9" s="1"/>
  <c r="MFO28" i="9" s="1"/>
  <c r="MFQ28" i="9" s="1"/>
  <c r="MFS28" i="9" s="1"/>
  <c r="MFU28" i="9" s="1"/>
  <c r="MFW28" i="9" s="1"/>
  <c r="MFY28" i="9" s="1"/>
  <c r="MGA28" i="9" s="1"/>
  <c r="MGC28" i="9" s="1"/>
  <c r="MGE28" i="9" s="1"/>
  <c r="MGG28" i="9" s="1"/>
  <c r="MGI28" i="9" s="1"/>
  <c r="MGK28" i="9" s="1"/>
  <c r="MGM28" i="9" s="1"/>
  <c r="MGO28" i="9" s="1"/>
  <c r="MGQ28" i="9" s="1"/>
  <c r="MGS28" i="9" s="1"/>
  <c r="MGU28" i="9" s="1"/>
  <c r="MGW28" i="9" s="1"/>
  <c r="MGY28" i="9" s="1"/>
  <c r="MHA28" i="9" s="1"/>
  <c r="MHC28" i="9" s="1"/>
  <c r="MHE28" i="9" s="1"/>
  <c r="MHG28" i="9" s="1"/>
  <c r="MHI28" i="9" s="1"/>
  <c r="MHK28" i="9" s="1"/>
  <c r="MHM28" i="9" s="1"/>
  <c r="MHO28" i="9" s="1"/>
  <c r="MHQ28" i="9" s="1"/>
  <c r="MHS28" i="9" s="1"/>
  <c r="MHU28" i="9" s="1"/>
  <c r="MHW28" i="9" s="1"/>
  <c r="MHY28" i="9" s="1"/>
  <c r="MIA28" i="9" s="1"/>
  <c r="MIC28" i="9" s="1"/>
  <c r="MIE28" i="9" s="1"/>
  <c r="MIG28" i="9" s="1"/>
  <c r="MII28" i="9" s="1"/>
  <c r="MIK28" i="9" s="1"/>
  <c r="MIM28" i="9" s="1"/>
  <c r="MIO28" i="9" s="1"/>
  <c r="MIQ28" i="9" s="1"/>
  <c r="MIS28" i="9" s="1"/>
  <c r="MIU28" i="9" s="1"/>
  <c r="MIW28" i="9" s="1"/>
  <c r="MIY28" i="9" s="1"/>
  <c r="MJA28" i="9" s="1"/>
  <c r="MJC28" i="9" s="1"/>
  <c r="MJE28" i="9" s="1"/>
  <c r="MJG28" i="9" s="1"/>
  <c r="MJI28" i="9" s="1"/>
  <c r="MJK28" i="9" s="1"/>
  <c r="MJM28" i="9" s="1"/>
  <c r="MJO28" i="9" s="1"/>
  <c r="MJQ28" i="9" s="1"/>
  <c r="MJS28" i="9" s="1"/>
  <c r="MJU28" i="9" s="1"/>
  <c r="MJW28" i="9" s="1"/>
  <c r="MJY28" i="9" s="1"/>
  <c r="MKA28" i="9" s="1"/>
  <c r="MKC28" i="9" s="1"/>
  <c r="MKE28" i="9" s="1"/>
  <c r="MKG28" i="9" s="1"/>
  <c r="MKI28" i="9" s="1"/>
  <c r="MKK28" i="9" s="1"/>
  <c r="MKM28" i="9" s="1"/>
  <c r="MKO28" i="9" s="1"/>
  <c r="MKQ28" i="9" s="1"/>
  <c r="MKS28" i="9" s="1"/>
  <c r="MKU28" i="9" s="1"/>
  <c r="MKW28" i="9" s="1"/>
  <c r="MKY28" i="9" s="1"/>
  <c r="MLA28" i="9" s="1"/>
  <c r="MLC28" i="9" s="1"/>
  <c r="MLE28" i="9" s="1"/>
  <c r="MLG28" i="9" s="1"/>
  <c r="MLI28" i="9" s="1"/>
  <c r="MLK28" i="9" s="1"/>
  <c r="MLM28" i="9" s="1"/>
  <c r="MLO28" i="9" s="1"/>
  <c r="MLQ28" i="9" s="1"/>
  <c r="MLS28" i="9" s="1"/>
  <c r="MLU28" i="9" s="1"/>
  <c r="MLW28" i="9" s="1"/>
  <c r="MLY28" i="9" s="1"/>
  <c r="MMA28" i="9" s="1"/>
  <c r="MMC28" i="9" s="1"/>
  <c r="MME28" i="9" s="1"/>
  <c r="MMG28" i="9" s="1"/>
  <c r="MMI28" i="9" s="1"/>
  <c r="MMK28" i="9" s="1"/>
  <c r="MMM28" i="9" s="1"/>
  <c r="MMO28" i="9" s="1"/>
  <c r="MMQ28" i="9" s="1"/>
  <c r="MMS28" i="9" s="1"/>
  <c r="MMU28" i="9" s="1"/>
  <c r="MMW28" i="9" s="1"/>
  <c r="MMY28" i="9" s="1"/>
  <c r="MNA28" i="9" s="1"/>
  <c r="MNC28" i="9" s="1"/>
  <c r="MNE28" i="9" s="1"/>
  <c r="MNG28" i="9" s="1"/>
  <c r="MNI28" i="9" s="1"/>
  <c r="MNK28" i="9" s="1"/>
  <c r="MNM28" i="9" s="1"/>
  <c r="MNO28" i="9" s="1"/>
  <c r="MNQ28" i="9" s="1"/>
  <c r="MNS28" i="9" s="1"/>
  <c r="MNU28" i="9" s="1"/>
  <c r="MNW28" i="9" s="1"/>
  <c r="MNY28" i="9" s="1"/>
  <c r="MOA28" i="9" s="1"/>
  <c r="MOC28" i="9" s="1"/>
  <c r="MOE28" i="9" s="1"/>
  <c r="MOG28" i="9" s="1"/>
  <c r="MOI28" i="9" s="1"/>
  <c r="MOK28" i="9" s="1"/>
  <c r="MOM28" i="9" s="1"/>
  <c r="MOO28" i="9" s="1"/>
  <c r="MOQ28" i="9" s="1"/>
  <c r="MOS28" i="9" s="1"/>
  <c r="MOU28" i="9" s="1"/>
  <c r="MOW28" i="9" s="1"/>
  <c r="MOY28" i="9" s="1"/>
  <c r="MPA28" i="9" s="1"/>
  <c r="MPC28" i="9" s="1"/>
  <c r="MPE28" i="9" s="1"/>
  <c r="MPG28" i="9" s="1"/>
  <c r="MPI28" i="9" s="1"/>
  <c r="MPK28" i="9" s="1"/>
  <c r="MPM28" i="9" s="1"/>
  <c r="MPO28" i="9" s="1"/>
  <c r="MPQ28" i="9" s="1"/>
  <c r="MPS28" i="9" s="1"/>
  <c r="MPU28" i="9" s="1"/>
  <c r="MPW28" i="9" s="1"/>
  <c r="MPY28" i="9" s="1"/>
  <c r="MQA28" i="9" s="1"/>
  <c r="MQC28" i="9" s="1"/>
  <c r="MQE28" i="9" s="1"/>
  <c r="MQG28" i="9" s="1"/>
  <c r="MQI28" i="9" s="1"/>
  <c r="MQK28" i="9" s="1"/>
  <c r="MQM28" i="9" s="1"/>
  <c r="MQO28" i="9" s="1"/>
  <c r="MQQ28" i="9" s="1"/>
  <c r="MQS28" i="9" s="1"/>
  <c r="MQU28" i="9" s="1"/>
  <c r="MQW28" i="9" s="1"/>
  <c r="MQY28" i="9" s="1"/>
  <c r="MRA28" i="9" s="1"/>
  <c r="MRC28" i="9" s="1"/>
  <c r="MRE28" i="9" s="1"/>
  <c r="MRG28" i="9" s="1"/>
  <c r="MRI28" i="9" s="1"/>
  <c r="MRK28" i="9" s="1"/>
  <c r="MRM28" i="9" s="1"/>
  <c r="MRO28" i="9" s="1"/>
  <c r="MRQ28" i="9" s="1"/>
  <c r="MRS28" i="9" s="1"/>
  <c r="MRU28" i="9" s="1"/>
  <c r="MRW28" i="9" s="1"/>
  <c r="MRY28" i="9" s="1"/>
  <c r="MSA28" i="9" s="1"/>
  <c r="MSC28" i="9" s="1"/>
  <c r="MSE28" i="9" s="1"/>
  <c r="MSG28" i="9" s="1"/>
  <c r="MSI28" i="9" s="1"/>
  <c r="MSK28" i="9" s="1"/>
  <c r="MSM28" i="9" s="1"/>
  <c r="MSO28" i="9" s="1"/>
  <c r="MSQ28" i="9" s="1"/>
  <c r="MSS28" i="9" s="1"/>
  <c r="MSU28" i="9" s="1"/>
  <c r="MSW28" i="9" s="1"/>
  <c r="MSY28" i="9" s="1"/>
  <c r="MTA28" i="9" s="1"/>
  <c r="MTC28" i="9" s="1"/>
  <c r="MTE28" i="9" s="1"/>
  <c r="MTG28" i="9" s="1"/>
  <c r="MTI28" i="9" s="1"/>
  <c r="MTK28" i="9" s="1"/>
  <c r="MTM28" i="9" s="1"/>
  <c r="MTO28" i="9" s="1"/>
  <c r="MTQ28" i="9" s="1"/>
  <c r="MTS28" i="9" s="1"/>
  <c r="MTU28" i="9" s="1"/>
  <c r="MTW28" i="9" s="1"/>
  <c r="MTY28" i="9" s="1"/>
  <c r="MUA28" i="9" s="1"/>
  <c r="MUC28" i="9" s="1"/>
  <c r="MUE28" i="9" s="1"/>
  <c r="MUG28" i="9" s="1"/>
  <c r="MUI28" i="9" s="1"/>
  <c r="MUK28" i="9" s="1"/>
  <c r="MUM28" i="9" s="1"/>
  <c r="MUO28" i="9" s="1"/>
  <c r="MUQ28" i="9" s="1"/>
  <c r="MUS28" i="9" s="1"/>
  <c r="MUU28" i="9" s="1"/>
  <c r="MUW28" i="9" s="1"/>
  <c r="MUY28" i="9" s="1"/>
  <c r="MVA28" i="9" s="1"/>
  <c r="MVC28" i="9" s="1"/>
  <c r="MVE28" i="9" s="1"/>
  <c r="MVG28" i="9" s="1"/>
  <c r="MVI28" i="9" s="1"/>
  <c r="MVK28" i="9" s="1"/>
  <c r="MVM28" i="9" s="1"/>
  <c r="MVO28" i="9" s="1"/>
  <c r="MVQ28" i="9" s="1"/>
  <c r="MVS28" i="9" s="1"/>
  <c r="MVU28" i="9" s="1"/>
  <c r="MVW28" i="9" s="1"/>
  <c r="MVY28" i="9" s="1"/>
  <c r="MWA28" i="9" s="1"/>
  <c r="MWC28" i="9" s="1"/>
  <c r="MWE28" i="9" s="1"/>
  <c r="MWG28" i="9" s="1"/>
  <c r="MWI28" i="9" s="1"/>
  <c r="MWK28" i="9" s="1"/>
  <c r="MWM28" i="9" s="1"/>
  <c r="MWO28" i="9" s="1"/>
  <c r="MWQ28" i="9" s="1"/>
  <c r="MWS28" i="9" s="1"/>
  <c r="MWU28" i="9" s="1"/>
  <c r="MWW28" i="9" s="1"/>
  <c r="MWY28" i="9" s="1"/>
  <c r="MXA28" i="9" s="1"/>
  <c r="MXC28" i="9" s="1"/>
  <c r="MXE28" i="9" s="1"/>
  <c r="MXG28" i="9" s="1"/>
  <c r="MXI28" i="9" s="1"/>
  <c r="MXK28" i="9" s="1"/>
  <c r="MXM28" i="9" s="1"/>
  <c r="MXO28" i="9" s="1"/>
  <c r="MXQ28" i="9" s="1"/>
  <c r="MXS28" i="9" s="1"/>
  <c r="MXU28" i="9" s="1"/>
  <c r="MXW28" i="9" s="1"/>
  <c r="MXY28" i="9" s="1"/>
  <c r="MYA28" i="9" s="1"/>
  <c r="MYC28" i="9" s="1"/>
  <c r="MYE28" i="9" s="1"/>
  <c r="MYG28" i="9" s="1"/>
  <c r="MYI28" i="9" s="1"/>
  <c r="MYK28" i="9" s="1"/>
  <c r="MYM28" i="9" s="1"/>
  <c r="MYO28" i="9" s="1"/>
  <c r="MYQ28" i="9" s="1"/>
  <c r="MYS28" i="9" s="1"/>
  <c r="MYU28" i="9" s="1"/>
  <c r="MYW28" i="9" s="1"/>
  <c r="MYY28" i="9" s="1"/>
  <c r="MZA28" i="9" s="1"/>
  <c r="MZC28" i="9" s="1"/>
  <c r="MZE28" i="9" s="1"/>
  <c r="MZG28" i="9" s="1"/>
  <c r="MZI28" i="9" s="1"/>
  <c r="MZK28" i="9" s="1"/>
  <c r="MZM28" i="9" s="1"/>
  <c r="MZO28" i="9" s="1"/>
  <c r="MZQ28" i="9" s="1"/>
  <c r="MZS28" i="9" s="1"/>
  <c r="MZU28" i="9" s="1"/>
  <c r="MZW28" i="9" s="1"/>
  <c r="MZY28" i="9" s="1"/>
  <c r="NAA28" i="9" s="1"/>
  <c r="NAC28" i="9" s="1"/>
  <c r="NAE28" i="9" s="1"/>
  <c r="NAG28" i="9" s="1"/>
  <c r="NAI28" i="9" s="1"/>
  <c r="NAK28" i="9" s="1"/>
  <c r="NAM28" i="9" s="1"/>
  <c r="NAO28" i="9" s="1"/>
  <c r="NAQ28" i="9" s="1"/>
  <c r="NAS28" i="9" s="1"/>
  <c r="NAU28" i="9" s="1"/>
  <c r="NAW28" i="9" s="1"/>
  <c r="NAY28" i="9" s="1"/>
  <c r="NBA28" i="9" s="1"/>
  <c r="NBC28" i="9" s="1"/>
  <c r="NBE28" i="9" s="1"/>
  <c r="NBG28" i="9" s="1"/>
  <c r="NBI28" i="9" s="1"/>
  <c r="NBK28" i="9" s="1"/>
  <c r="NBM28" i="9" s="1"/>
  <c r="NBO28" i="9" s="1"/>
  <c r="NBQ28" i="9" s="1"/>
  <c r="NBS28" i="9" s="1"/>
  <c r="NBU28" i="9" s="1"/>
  <c r="NBW28" i="9" s="1"/>
  <c r="NBY28" i="9" s="1"/>
  <c r="NCA28" i="9" s="1"/>
  <c r="NCC28" i="9" s="1"/>
  <c r="NCE28" i="9" s="1"/>
  <c r="NCG28" i="9" s="1"/>
  <c r="NCI28" i="9" s="1"/>
  <c r="NCK28" i="9" s="1"/>
  <c r="NCM28" i="9" s="1"/>
  <c r="NCO28" i="9" s="1"/>
  <c r="NCQ28" i="9" s="1"/>
  <c r="NCS28" i="9" s="1"/>
  <c r="NCU28" i="9" s="1"/>
  <c r="NCW28" i="9" s="1"/>
  <c r="NCY28" i="9" s="1"/>
  <c r="NDA28" i="9" s="1"/>
  <c r="NDC28" i="9" s="1"/>
  <c r="NDE28" i="9" s="1"/>
  <c r="NDG28" i="9" s="1"/>
  <c r="NDI28" i="9" s="1"/>
  <c r="NDK28" i="9" s="1"/>
  <c r="NDM28" i="9" s="1"/>
  <c r="NDO28" i="9" s="1"/>
  <c r="NDQ28" i="9" s="1"/>
  <c r="NDS28" i="9" s="1"/>
  <c r="NDU28" i="9" s="1"/>
  <c r="NDW28" i="9" s="1"/>
  <c r="NDY28" i="9" s="1"/>
  <c r="NEA28" i="9" s="1"/>
  <c r="NEC28" i="9" s="1"/>
  <c r="NEE28" i="9" s="1"/>
  <c r="NEG28" i="9" s="1"/>
  <c r="NEI28" i="9" s="1"/>
  <c r="NEK28" i="9" s="1"/>
  <c r="NEM28" i="9" s="1"/>
  <c r="NEO28" i="9" s="1"/>
  <c r="NEQ28" i="9" s="1"/>
  <c r="NES28" i="9" s="1"/>
  <c r="NEU28" i="9" s="1"/>
  <c r="NEW28" i="9" s="1"/>
  <c r="NEY28" i="9" s="1"/>
  <c r="NFA28" i="9" s="1"/>
  <c r="NFC28" i="9" s="1"/>
  <c r="NFE28" i="9" s="1"/>
  <c r="NFG28" i="9" s="1"/>
  <c r="NFI28" i="9" s="1"/>
  <c r="NFK28" i="9" s="1"/>
  <c r="NFM28" i="9" s="1"/>
  <c r="NFO28" i="9" s="1"/>
  <c r="NFQ28" i="9" s="1"/>
  <c r="NFS28" i="9" s="1"/>
  <c r="NFU28" i="9" s="1"/>
  <c r="NFW28" i="9" s="1"/>
  <c r="NFY28" i="9" s="1"/>
  <c r="NGA28" i="9" s="1"/>
  <c r="NGC28" i="9" s="1"/>
  <c r="NGE28" i="9" s="1"/>
  <c r="NGG28" i="9" s="1"/>
  <c r="NGI28" i="9" s="1"/>
  <c r="NGK28" i="9" s="1"/>
  <c r="NGM28" i="9" s="1"/>
  <c r="NGO28" i="9" s="1"/>
  <c r="NGQ28" i="9" s="1"/>
  <c r="NGS28" i="9" s="1"/>
  <c r="NGU28" i="9" s="1"/>
  <c r="NGW28" i="9" s="1"/>
  <c r="NGY28" i="9" s="1"/>
  <c r="NHA28" i="9" s="1"/>
  <c r="NHC28" i="9" s="1"/>
  <c r="NHE28" i="9" s="1"/>
  <c r="NHG28" i="9" s="1"/>
  <c r="NHI28" i="9" s="1"/>
  <c r="NHK28" i="9" s="1"/>
  <c r="NHM28" i="9" s="1"/>
  <c r="NHO28" i="9" s="1"/>
  <c r="NHQ28" i="9" s="1"/>
  <c r="NHS28" i="9" s="1"/>
  <c r="NHU28" i="9" s="1"/>
  <c r="NHW28" i="9" s="1"/>
  <c r="NHY28" i="9" s="1"/>
  <c r="NIA28" i="9" s="1"/>
  <c r="NIC28" i="9" s="1"/>
  <c r="NIE28" i="9" s="1"/>
  <c r="NIG28" i="9" s="1"/>
  <c r="NII28" i="9" s="1"/>
  <c r="NIK28" i="9" s="1"/>
  <c r="NIM28" i="9" s="1"/>
  <c r="NIO28" i="9" s="1"/>
  <c r="NIQ28" i="9" s="1"/>
  <c r="NIS28" i="9" s="1"/>
  <c r="NIU28" i="9" s="1"/>
  <c r="NIW28" i="9" s="1"/>
  <c r="NIY28" i="9" s="1"/>
  <c r="NJA28" i="9" s="1"/>
  <c r="NJC28" i="9" s="1"/>
  <c r="NJE28" i="9" s="1"/>
  <c r="NJG28" i="9" s="1"/>
  <c r="NJI28" i="9" s="1"/>
  <c r="NJK28" i="9" s="1"/>
  <c r="NJM28" i="9" s="1"/>
  <c r="NJO28" i="9" s="1"/>
  <c r="NJQ28" i="9" s="1"/>
  <c r="NJS28" i="9" s="1"/>
  <c r="NJU28" i="9" s="1"/>
  <c r="NJW28" i="9" s="1"/>
  <c r="NJY28" i="9" s="1"/>
  <c r="NKA28" i="9" s="1"/>
  <c r="NKC28" i="9" s="1"/>
  <c r="NKE28" i="9" s="1"/>
  <c r="NKG28" i="9" s="1"/>
  <c r="NKI28" i="9" s="1"/>
  <c r="NKK28" i="9" s="1"/>
  <c r="NKM28" i="9" s="1"/>
  <c r="NKO28" i="9" s="1"/>
  <c r="NKQ28" i="9" s="1"/>
  <c r="NKS28" i="9" s="1"/>
  <c r="NKU28" i="9" s="1"/>
  <c r="NKW28" i="9" s="1"/>
  <c r="NKY28" i="9" s="1"/>
  <c r="NLA28" i="9" s="1"/>
  <c r="NLC28" i="9" s="1"/>
  <c r="NLE28" i="9" s="1"/>
  <c r="NLG28" i="9" s="1"/>
  <c r="NLI28" i="9" s="1"/>
  <c r="NLK28" i="9" s="1"/>
  <c r="NLM28" i="9" s="1"/>
  <c r="NLO28" i="9" s="1"/>
  <c r="NLQ28" i="9" s="1"/>
  <c r="NLS28" i="9" s="1"/>
  <c r="NLU28" i="9" s="1"/>
  <c r="NLW28" i="9" s="1"/>
  <c r="NLY28" i="9" s="1"/>
  <c r="NMA28" i="9" s="1"/>
  <c r="NMC28" i="9" s="1"/>
  <c r="NME28" i="9" s="1"/>
  <c r="NMG28" i="9" s="1"/>
  <c r="NMI28" i="9" s="1"/>
  <c r="NMK28" i="9" s="1"/>
  <c r="NMM28" i="9" s="1"/>
  <c r="NMO28" i="9" s="1"/>
  <c r="NMQ28" i="9" s="1"/>
  <c r="NMS28" i="9" s="1"/>
  <c r="NMU28" i="9" s="1"/>
  <c r="NMW28" i="9" s="1"/>
  <c r="NMY28" i="9" s="1"/>
  <c r="NNA28" i="9" s="1"/>
  <c r="NNC28" i="9" s="1"/>
  <c r="NNE28" i="9" s="1"/>
  <c r="NNG28" i="9" s="1"/>
  <c r="NNI28" i="9" s="1"/>
  <c r="NNK28" i="9" s="1"/>
  <c r="NNM28" i="9" s="1"/>
  <c r="NNO28" i="9" s="1"/>
  <c r="NNQ28" i="9" s="1"/>
  <c r="NNS28" i="9" s="1"/>
  <c r="NNU28" i="9" s="1"/>
  <c r="NNW28" i="9" s="1"/>
  <c r="NNY28" i="9" s="1"/>
  <c r="NOA28" i="9" s="1"/>
  <c r="NOC28" i="9" s="1"/>
  <c r="NOE28" i="9" s="1"/>
  <c r="NOG28" i="9" s="1"/>
  <c r="NOI28" i="9" s="1"/>
  <c r="NOK28" i="9" s="1"/>
  <c r="NOM28" i="9" s="1"/>
  <c r="NOO28" i="9" s="1"/>
  <c r="NOQ28" i="9" s="1"/>
  <c r="NOS28" i="9" s="1"/>
  <c r="NOU28" i="9" s="1"/>
  <c r="NOW28" i="9" s="1"/>
  <c r="NOY28" i="9" s="1"/>
  <c r="NPA28" i="9" s="1"/>
  <c r="NPC28" i="9" s="1"/>
  <c r="NPE28" i="9" s="1"/>
  <c r="NPG28" i="9" s="1"/>
  <c r="NPI28" i="9" s="1"/>
  <c r="NPK28" i="9" s="1"/>
  <c r="NPM28" i="9" s="1"/>
  <c r="NPO28" i="9" s="1"/>
  <c r="NPQ28" i="9" s="1"/>
  <c r="NPS28" i="9" s="1"/>
  <c r="NPU28" i="9" s="1"/>
  <c r="NPW28" i="9" s="1"/>
  <c r="NPY28" i="9" s="1"/>
  <c r="NQA28" i="9" s="1"/>
  <c r="NQC28" i="9" s="1"/>
  <c r="NQE28" i="9" s="1"/>
  <c r="NQG28" i="9" s="1"/>
  <c r="NQI28" i="9" s="1"/>
  <c r="NQK28" i="9" s="1"/>
  <c r="NQM28" i="9" s="1"/>
  <c r="NQO28" i="9" s="1"/>
  <c r="NQQ28" i="9" s="1"/>
  <c r="NQS28" i="9" s="1"/>
  <c r="NQU28" i="9" s="1"/>
  <c r="NQW28" i="9" s="1"/>
  <c r="NQY28" i="9" s="1"/>
  <c r="NRA28" i="9" s="1"/>
  <c r="NRC28" i="9" s="1"/>
  <c r="NRE28" i="9" s="1"/>
  <c r="NRG28" i="9" s="1"/>
  <c r="NRI28" i="9" s="1"/>
  <c r="NRK28" i="9" s="1"/>
  <c r="NRM28" i="9" s="1"/>
  <c r="NRO28" i="9" s="1"/>
  <c r="NRQ28" i="9" s="1"/>
  <c r="NRS28" i="9" s="1"/>
  <c r="NRU28" i="9" s="1"/>
  <c r="NRW28" i="9" s="1"/>
  <c r="NRY28" i="9" s="1"/>
  <c r="NSA28" i="9" s="1"/>
  <c r="NSC28" i="9" s="1"/>
  <c r="NSE28" i="9" s="1"/>
  <c r="NSG28" i="9" s="1"/>
  <c r="NSI28" i="9" s="1"/>
  <c r="NSK28" i="9" s="1"/>
  <c r="NSM28" i="9" s="1"/>
  <c r="NSO28" i="9" s="1"/>
  <c r="NSQ28" i="9" s="1"/>
  <c r="NSS28" i="9" s="1"/>
  <c r="NSU28" i="9" s="1"/>
  <c r="NSW28" i="9" s="1"/>
  <c r="NSY28" i="9" s="1"/>
  <c r="NTA28" i="9" s="1"/>
  <c r="NTC28" i="9" s="1"/>
  <c r="NTE28" i="9" s="1"/>
  <c r="NTG28" i="9" s="1"/>
  <c r="NTI28" i="9" s="1"/>
  <c r="NTK28" i="9" s="1"/>
  <c r="NTM28" i="9" s="1"/>
  <c r="NTO28" i="9" s="1"/>
  <c r="NTQ28" i="9" s="1"/>
  <c r="NTS28" i="9" s="1"/>
  <c r="NTU28" i="9" s="1"/>
  <c r="NTW28" i="9" s="1"/>
  <c r="NTY28" i="9" s="1"/>
  <c r="NUA28" i="9" s="1"/>
  <c r="NUC28" i="9" s="1"/>
  <c r="NUE28" i="9" s="1"/>
  <c r="NUG28" i="9" s="1"/>
  <c r="NUI28" i="9" s="1"/>
  <c r="NUK28" i="9" s="1"/>
  <c r="NUM28" i="9" s="1"/>
  <c r="NUO28" i="9" s="1"/>
  <c r="NUQ28" i="9" s="1"/>
  <c r="NUS28" i="9" s="1"/>
  <c r="NUU28" i="9" s="1"/>
  <c r="NUW28" i="9" s="1"/>
  <c r="NUY28" i="9" s="1"/>
  <c r="NVA28" i="9" s="1"/>
  <c r="NVC28" i="9" s="1"/>
  <c r="NVE28" i="9" s="1"/>
  <c r="NVG28" i="9" s="1"/>
  <c r="NVI28" i="9" s="1"/>
  <c r="NVK28" i="9" s="1"/>
  <c r="NVM28" i="9" s="1"/>
  <c r="NVO28" i="9" s="1"/>
  <c r="NVQ28" i="9" s="1"/>
  <c r="NVS28" i="9" s="1"/>
  <c r="NVU28" i="9" s="1"/>
  <c r="NVW28" i="9" s="1"/>
  <c r="NVY28" i="9" s="1"/>
  <c r="NWA28" i="9" s="1"/>
  <c r="NWC28" i="9" s="1"/>
  <c r="NWE28" i="9" s="1"/>
  <c r="NWG28" i="9" s="1"/>
  <c r="NWI28" i="9" s="1"/>
  <c r="NWK28" i="9" s="1"/>
  <c r="NWM28" i="9" s="1"/>
  <c r="NWO28" i="9" s="1"/>
  <c r="NWQ28" i="9" s="1"/>
  <c r="NWS28" i="9" s="1"/>
  <c r="NWU28" i="9" s="1"/>
  <c r="NWW28" i="9" s="1"/>
  <c r="NWY28" i="9" s="1"/>
  <c r="NXA28" i="9" s="1"/>
  <c r="NXC28" i="9" s="1"/>
  <c r="NXE28" i="9" s="1"/>
  <c r="NXG28" i="9" s="1"/>
  <c r="NXI28" i="9" s="1"/>
  <c r="NXK28" i="9" s="1"/>
  <c r="NXM28" i="9" s="1"/>
  <c r="NXO28" i="9" s="1"/>
  <c r="NXQ28" i="9" s="1"/>
  <c r="NXS28" i="9" s="1"/>
  <c r="NXU28" i="9" s="1"/>
  <c r="NXW28" i="9" s="1"/>
  <c r="NXY28" i="9" s="1"/>
  <c r="NYA28" i="9" s="1"/>
  <c r="NYC28" i="9" s="1"/>
  <c r="NYE28" i="9" s="1"/>
  <c r="NYG28" i="9" s="1"/>
  <c r="NYI28" i="9" s="1"/>
  <c r="NYK28" i="9" s="1"/>
  <c r="NYM28" i="9" s="1"/>
  <c r="NYO28" i="9" s="1"/>
  <c r="NYQ28" i="9" s="1"/>
  <c r="NYS28" i="9" s="1"/>
  <c r="NYU28" i="9" s="1"/>
  <c r="NYW28" i="9" s="1"/>
  <c r="NYY28" i="9" s="1"/>
  <c r="NZA28" i="9" s="1"/>
  <c r="NZC28" i="9" s="1"/>
  <c r="NZE28" i="9" s="1"/>
  <c r="NZG28" i="9" s="1"/>
  <c r="NZI28" i="9" s="1"/>
  <c r="NZK28" i="9" s="1"/>
  <c r="NZM28" i="9" s="1"/>
  <c r="NZO28" i="9" s="1"/>
  <c r="NZQ28" i="9" s="1"/>
  <c r="NZS28" i="9" s="1"/>
  <c r="NZU28" i="9" s="1"/>
  <c r="NZW28" i="9" s="1"/>
  <c r="NZY28" i="9" s="1"/>
  <c r="OAA28" i="9" s="1"/>
  <c r="OAC28" i="9" s="1"/>
  <c r="OAE28" i="9" s="1"/>
  <c r="OAG28" i="9" s="1"/>
  <c r="OAI28" i="9" s="1"/>
  <c r="OAK28" i="9" s="1"/>
  <c r="OAM28" i="9" s="1"/>
  <c r="OAO28" i="9" s="1"/>
  <c r="OAQ28" i="9" s="1"/>
  <c r="OAS28" i="9" s="1"/>
  <c r="OAU28" i="9" s="1"/>
  <c r="OAW28" i="9" s="1"/>
  <c r="OAY28" i="9" s="1"/>
  <c r="OBA28" i="9" s="1"/>
  <c r="OBC28" i="9" s="1"/>
  <c r="OBE28" i="9" s="1"/>
  <c r="OBG28" i="9" s="1"/>
  <c r="OBI28" i="9" s="1"/>
  <c r="OBK28" i="9" s="1"/>
  <c r="OBM28" i="9" s="1"/>
  <c r="OBO28" i="9" s="1"/>
  <c r="OBQ28" i="9" s="1"/>
  <c r="OBS28" i="9" s="1"/>
  <c r="OBU28" i="9" s="1"/>
  <c r="OBW28" i="9" s="1"/>
  <c r="OBY28" i="9" s="1"/>
  <c r="OCA28" i="9" s="1"/>
  <c r="OCC28" i="9" s="1"/>
  <c r="OCE28" i="9" s="1"/>
  <c r="OCG28" i="9" s="1"/>
  <c r="OCI28" i="9" s="1"/>
  <c r="OCK28" i="9" s="1"/>
  <c r="OCM28" i="9" s="1"/>
  <c r="OCO28" i="9" s="1"/>
  <c r="OCQ28" i="9" s="1"/>
  <c r="OCS28" i="9" s="1"/>
  <c r="OCU28" i="9" s="1"/>
  <c r="OCW28" i="9" s="1"/>
  <c r="OCY28" i="9" s="1"/>
  <c r="ODA28" i="9" s="1"/>
  <c r="ODC28" i="9" s="1"/>
  <c r="ODE28" i="9" s="1"/>
  <c r="ODG28" i="9" s="1"/>
  <c r="ODI28" i="9" s="1"/>
  <c r="ODK28" i="9" s="1"/>
  <c r="ODM28" i="9" s="1"/>
  <c r="ODO28" i="9" s="1"/>
  <c r="ODQ28" i="9" s="1"/>
  <c r="ODS28" i="9" s="1"/>
  <c r="ODU28" i="9" s="1"/>
  <c r="ODW28" i="9" s="1"/>
  <c r="ODY28" i="9" s="1"/>
  <c r="OEA28" i="9" s="1"/>
  <c r="OEC28" i="9" s="1"/>
  <c r="OEE28" i="9" s="1"/>
  <c r="OEG28" i="9" s="1"/>
  <c r="OEI28" i="9" s="1"/>
  <c r="OEK28" i="9" s="1"/>
  <c r="OEM28" i="9" s="1"/>
  <c r="OEO28" i="9" s="1"/>
  <c r="OEQ28" i="9" s="1"/>
  <c r="OES28" i="9" s="1"/>
  <c r="OEU28" i="9" s="1"/>
  <c r="OEW28" i="9" s="1"/>
  <c r="OEY28" i="9" s="1"/>
  <c r="OFA28" i="9" s="1"/>
  <c r="OFC28" i="9" s="1"/>
  <c r="OFE28" i="9" s="1"/>
  <c r="OFG28" i="9" s="1"/>
  <c r="OFI28" i="9" s="1"/>
  <c r="OFK28" i="9" s="1"/>
  <c r="OFM28" i="9" s="1"/>
  <c r="OFO28" i="9" s="1"/>
  <c r="OFQ28" i="9" s="1"/>
  <c r="OFS28" i="9" s="1"/>
  <c r="OFU28" i="9" s="1"/>
  <c r="OFW28" i="9" s="1"/>
  <c r="OFY28" i="9" s="1"/>
  <c r="OGA28" i="9" s="1"/>
  <c r="OGC28" i="9" s="1"/>
  <c r="OGE28" i="9" s="1"/>
  <c r="OGG28" i="9" s="1"/>
  <c r="OGI28" i="9" s="1"/>
  <c r="OGK28" i="9" s="1"/>
  <c r="OGM28" i="9" s="1"/>
  <c r="OGO28" i="9" s="1"/>
  <c r="OGQ28" i="9" s="1"/>
  <c r="OGS28" i="9" s="1"/>
  <c r="OGU28" i="9" s="1"/>
  <c r="OGW28" i="9" s="1"/>
  <c r="OGY28" i="9" s="1"/>
  <c r="OHA28" i="9" s="1"/>
  <c r="OHC28" i="9" s="1"/>
  <c r="OHE28" i="9" s="1"/>
  <c r="OHG28" i="9" s="1"/>
  <c r="OHI28" i="9" s="1"/>
  <c r="OHK28" i="9" s="1"/>
  <c r="OHM28" i="9" s="1"/>
  <c r="OHO28" i="9" s="1"/>
  <c r="OHQ28" i="9" s="1"/>
  <c r="OHS28" i="9" s="1"/>
  <c r="OHU28" i="9" s="1"/>
  <c r="OHW28" i="9" s="1"/>
  <c r="OHY28" i="9" s="1"/>
  <c r="OIA28" i="9" s="1"/>
  <c r="OIC28" i="9" s="1"/>
  <c r="OIE28" i="9" s="1"/>
  <c r="OIG28" i="9" s="1"/>
  <c r="OII28" i="9" s="1"/>
  <c r="OIK28" i="9" s="1"/>
  <c r="OIM28" i="9" s="1"/>
  <c r="OIO28" i="9" s="1"/>
  <c r="OIQ28" i="9" s="1"/>
  <c r="OIS28" i="9" s="1"/>
  <c r="OIU28" i="9" s="1"/>
  <c r="OIW28" i="9" s="1"/>
  <c r="OIY28" i="9" s="1"/>
  <c r="OJA28" i="9" s="1"/>
  <c r="OJC28" i="9" s="1"/>
  <c r="OJE28" i="9" s="1"/>
  <c r="OJG28" i="9" s="1"/>
  <c r="OJI28" i="9" s="1"/>
  <c r="OJK28" i="9" s="1"/>
  <c r="OJM28" i="9" s="1"/>
  <c r="OJO28" i="9" s="1"/>
  <c r="OJQ28" i="9" s="1"/>
  <c r="OJS28" i="9" s="1"/>
  <c r="OJU28" i="9" s="1"/>
  <c r="OJW28" i="9" s="1"/>
  <c r="OJY28" i="9" s="1"/>
  <c r="OKA28" i="9" s="1"/>
  <c r="OKC28" i="9" s="1"/>
  <c r="OKE28" i="9" s="1"/>
  <c r="OKG28" i="9" s="1"/>
  <c r="OKI28" i="9" s="1"/>
  <c r="OKK28" i="9" s="1"/>
  <c r="OKM28" i="9" s="1"/>
  <c r="OKO28" i="9" s="1"/>
  <c r="OKQ28" i="9" s="1"/>
  <c r="OKS28" i="9" s="1"/>
  <c r="OKU28" i="9" s="1"/>
  <c r="OKW28" i="9" s="1"/>
  <c r="OKY28" i="9" s="1"/>
  <c r="OLA28" i="9" s="1"/>
  <c r="OLC28" i="9" s="1"/>
  <c r="OLE28" i="9" s="1"/>
  <c r="OLG28" i="9" s="1"/>
  <c r="OLI28" i="9" s="1"/>
  <c r="OLK28" i="9" s="1"/>
  <c r="OLM28" i="9" s="1"/>
  <c r="OLO28" i="9" s="1"/>
  <c r="OLQ28" i="9" s="1"/>
  <c r="OLS28" i="9" s="1"/>
  <c r="OLU28" i="9" s="1"/>
  <c r="OLW28" i="9" s="1"/>
  <c r="OLY28" i="9" s="1"/>
  <c r="OMA28" i="9" s="1"/>
  <c r="OMC28" i="9" s="1"/>
  <c r="OME28" i="9" s="1"/>
  <c r="OMG28" i="9" s="1"/>
  <c r="OMI28" i="9" s="1"/>
  <c r="OMK28" i="9" s="1"/>
  <c r="OMM28" i="9" s="1"/>
  <c r="OMO28" i="9" s="1"/>
  <c r="OMQ28" i="9" s="1"/>
  <c r="OMS28" i="9" s="1"/>
  <c r="OMU28" i="9" s="1"/>
  <c r="OMW28" i="9" s="1"/>
  <c r="OMY28" i="9" s="1"/>
  <c r="ONA28" i="9" s="1"/>
  <c r="ONC28" i="9" s="1"/>
  <c r="ONE28" i="9" s="1"/>
  <c r="ONG28" i="9" s="1"/>
  <c r="ONI28" i="9" s="1"/>
  <c r="ONK28" i="9" s="1"/>
  <c r="ONM28" i="9" s="1"/>
  <c r="ONO28" i="9" s="1"/>
  <c r="ONQ28" i="9" s="1"/>
  <c r="ONS28" i="9" s="1"/>
  <c r="ONU28" i="9" s="1"/>
  <c r="ONW28" i="9" s="1"/>
  <c r="ONY28" i="9" s="1"/>
  <c r="OOA28" i="9" s="1"/>
  <c r="OOC28" i="9" s="1"/>
  <c r="OOE28" i="9" s="1"/>
  <c r="OOG28" i="9" s="1"/>
  <c r="OOI28" i="9" s="1"/>
  <c r="OOK28" i="9" s="1"/>
  <c r="OOM28" i="9" s="1"/>
  <c r="OOO28" i="9" s="1"/>
  <c r="OOQ28" i="9" s="1"/>
  <c r="OOS28" i="9" s="1"/>
  <c r="OOU28" i="9" s="1"/>
  <c r="OOW28" i="9" s="1"/>
  <c r="OOY28" i="9" s="1"/>
  <c r="OPA28" i="9" s="1"/>
  <c r="OPC28" i="9" s="1"/>
  <c r="OPE28" i="9" s="1"/>
  <c r="OPG28" i="9" s="1"/>
  <c r="OPI28" i="9" s="1"/>
  <c r="OPK28" i="9" s="1"/>
  <c r="OPM28" i="9" s="1"/>
  <c r="OPO28" i="9" s="1"/>
  <c r="OPQ28" i="9" s="1"/>
  <c r="OPS28" i="9" s="1"/>
  <c r="OPU28" i="9" s="1"/>
  <c r="OPW28" i="9" s="1"/>
  <c r="OPY28" i="9" s="1"/>
  <c r="OQA28" i="9" s="1"/>
  <c r="OQC28" i="9" s="1"/>
  <c r="OQE28" i="9" s="1"/>
  <c r="OQG28" i="9" s="1"/>
  <c r="OQI28" i="9" s="1"/>
  <c r="OQK28" i="9" s="1"/>
  <c r="OQM28" i="9" s="1"/>
  <c r="OQO28" i="9" s="1"/>
  <c r="OQQ28" i="9" s="1"/>
  <c r="OQS28" i="9" s="1"/>
  <c r="OQU28" i="9" s="1"/>
  <c r="OQW28" i="9" s="1"/>
  <c r="OQY28" i="9" s="1"/>
  <c r="ORA28" i="9" s="1"/>
  <c r="ORC28" i="9" s="1"/>
  <c r="ORE28" i="9" s="1"/>
  <c r="ORG28" i="9" s="1"/>
  <c r="ORI28" i="9" s="1"/>
  <c r="ORK28" i="9" s="1"/>
  <c r="ORM28" i="9" s="1"/>
  <c r="ORO28" i="9" s="1"/>
  <c r="ORQ28" i="9" s="1"/>
  <c r="ORS28" i="9" s="1"/>
  <c r="ORU28" i="9" s="1"/>
  <c r="ORW28" i="9" s="1"/>
  <c r="ORY28" i="9" s="1"/>
  <c r="OSA28" i="9" s="1"/>
  <c r="OSC28" i="9" s="1"/>
  <c r="OSE28" i="9" s="1"/>
  <c r="OSG28" i="9" s="1"/>
  <c r="OSI28" i="9" s="1"/>
  <c r="OSK28" i="9" s="1"/>
  <c r="OSM28" i="9" s="1"/>
  <c r="OSO28" i="9" s="1"/>
  <c r="OSQ28" i="9" s="1"/>
  <c r="OSS28" i="9" s="1"/>
  <c r="OSU28" i="9" s="1"/>
  <c r="OSW28" i="9" s="1"/>
  <c r="OSY28" i="9" s="1"/>
  <c r="OTA28" i="9" s="1"/>
  <c r="OTC28" i="9" s="1"/>
  <c r="OTE28" i="9" s="1"/>
  <c r="OTG28" i="9" s="1"/>
  <c r="OTI28" i="9" s="1"/>
  <c r="OTK28" i="9" s="1"/>
  <c r="OTM28" i="9" s="1"/>
  <c r="OTO28" i="9" s="1"/>
  <c r="OTQ28" i="9" s="1"/>
  <c r="OTS28" i="9" s="1"/>
  <c r="OTU28" i="9" s="1"/>
  <c r="OTW28" i="9" s="1"/>
  <c r="OTY28" i="9" s="1"/>
  <c r="OUA28" i="9" s="1"/>
  <c r="OUC28" i="9" s="1"/>
  <c r="OUE28" i="9" s="1"/>
  <c r="OUG28" i="9" s="1"/>
  <c r="OUI28" i="9" s="1"/>
  <c r="OUK28" i="9" s="1"/>
  <c r="OUM28" i="9" s="1"/>
  <c r="OUO28" i="9" s="1"/>
  <c r="OUQ28" i="9" s="1"/>
  <c r="OUS28" i="9" s="1"/>
  <c r="OUU28" i="9" s="1"/>
  <c r="OUW28" i="9" s="1"/>
  <c r="OUY28" i="9" s="1"/>
  <c r="OVA28" i="9" s="1"/>
  <c r="OVC28" i="9" s="1"/>
  <c r="OVE28" i="9" s="1"/>
  <c r="OVG28" i="9" s="1"/>
  <c r="OVI28" i="9" s="1"/>
  <c r="OVK28" i="9" s="1"/>
  <c r="OVM28" i="9" s="1"/>
  <c r="OVO28" i="9" s="1"/>
  <c r="OVQ28" i="9" s="1"/>
  <c r="OVS28" i="9" s="1"/>
  <c r="OVU28" i="9" s="1"/>
  <c r="OVW28" i="9" s="1"/>
  <c r="OVY28" i="9" s="1"/>
  <c r="OWA28" i="9" s="1"/>
  <c r="OWC28" i="9" s="1"/>
  <c r="OWE28" i="9" s="1"/>
  <c r="OWG28" i="9" s="1"/>
  <c r="OWI28" i="9" s="1"/>
  <c r="OWK28" i="9" s="1"/>
  <c r="OWM28" i="9" s="1"/>
  <c r="OWO28" i="9" s="1"/>
  <c r="OWQ28" i="9" s="1"/>
  <c r="OWS28" i="9" s="1"/>
  <c r="OWU28" i="9" s="1"/>
  <c r="OWW28" i="9" s="1"/>
  <c r="OWY28" i="9" s="1"/>
  <c r="OXA28" i="9" s="1"/>
  <c r="OXC28" i="9" s="1"/>
  <c r="OXE28" i="9" s="1"/>
  <c r="OXG28" i="9" s="1"/>
  <c r="OXI28" i="9" s="1"/>
  <c r="OXK28" i="9" s="1"/>
  <c r="OXM28" i="9" s="1"/>
  <c r="OXO28" i="9" s="1"/>
  <c r="OXQ28" i="9" s="1"/>
  <c r="OXS28" i="9" s="1"/>
  <c r="OXU28" i="9" s="1"/>
  <c r="OXW28" i="9" s="1"/>
  <c r="OXY28" i="9" s="1"/>
  <c r="OYA28" i="9" s="1"/>
  <c r="OYC28" i="9" s="1"/>
  <c r="OYE28" i="9" s="1"/>
  <c r="OYG28" i="9" s="1"/>
  <c r="OYI28" i="9" s="1"/>
  <c r="OYK28" i="9" s="1"/>
  <c r="OYM28" i="9" s="1"/>
  <c r="OYO28" i="9" s="1"/>
  <c r="OYQ28" i="9" s="1"/>
  <c r="OYS28" i="9" s="1"/>
  <c r="OYU28" i="9" s="1"/>
  <c r="OYW28" i="9" s="1"/>
  <c r="OYY28" i="9" s="1"/>
  <c r="OZA28" i="9" s="1"/>
  <c r="OZC28" i="9" s="1"/>
  <c r="OZE28" i="9" s="1"/>
  <c r="OZG28" i="9" s="1"/>
  <c r="OZI28" i="9" s="1"/>
  <c r="OZK28" i="9" s="1"/>
  <c r="OZM28" i="9" s="1"/>
  <c r="OZO28" i="9" s="1"/>
  <c r="OZQ28" i="9" s="1"/>
  <c r="OZS28" i="9" s="1"/>
  <c r="OZU28" i="9" s="1"/>
  <c r="OZW28" i="9" s="1"/>
  <c r="OZY28" i="9" s="1"/>
  <c r="PAA28" i="9" s="1"/>
  <c r="PAC28" i="9" s="1"/>
  <c r="PAE28" i="9" s="1"/>
  <c r="PAG28" i="9" s="1"/>
  <c r="PAI28" i="9" s="1"/>
  <c r="PAK28" i="9" s="1"/>
  <c r="PAM28" i="9" s="1"/>
  <c r="PAO28" i="9" s="1"/>
  <c r="PAQ28" i="9" s="1"/>
  <c r="PAS28" i="9" s="1"/>
  <c r="PAU28" i="9" s="1"/>
  <c r="PAW28" i="9" s="1"/>
  <c r="PAY28" i="9" s="1"/>
  <c r="PBA28" i="9" s="1"/>
  <c r="PBC28" i="9" s="1"/>
  <c r="PBE28" i="9" s="1"/>
  <c r="PBG28" i="9" s="1"/>
  <c r="PBI28" i="9" s="1"/>
  <c r="PBK28" i="9" s="1"/>
  <c r="PBM28" i="9" s="1"/>
  <c r="PBO28" i="9" s="1"/>
  <c r="PBQ28" i="9" s="1"/>
  <c r="PBS28" i="9" s="1"/>
  <c r="PBU28" i="9" s="1"/>
  <c r="PBW28" i="9" s="1"/>
  <c r="PBY28" i="9" s="1"/>
  <c r="PCA28" i="9" s="1"/>
  <c r="PCC28" i="9" s="1"/>
  <c r="PCE28" i="9" s="1"/>
  <c r="PCG28" i="9" s="1"/>
  <c r="PCI28" i="9" s="1"/>
  <c r="PCK28" i="9" s="1"/>
  <c r="PCM28" i="9" s="1"/>
  <c r="PCO28" i="9" s="1"/>
  <c r="PCQ28" i="9" s="1"/>
  <c r="PCS28" i="9" s="1"/>
  <c r="PCU28" i="9" s="1"/>
  <c r="PCW28" i="9" s="1"/>
  <c r="PCY28" i="9" s="1"/>
  <c r="PDA28" i="9" s="1"/>
  <c r="PDC28" i="9" s="1"/>
  <c r="PDE28" i="9" s="1"/>
  <c r="PDG28" i="9" s="1"/>
  <c r="PDI28" i="9" s="1"/>
  <c r="PDK28" i="9" s="1"/>
  <c r="PDM28" i="9" s="1"/>
  <c r="PDO28" i="9" s="1"/>
  <c r="PDQ28" i="9" s="1"/>
  <c r="PDS28" i="9" s="1"/>
  <c r="PDU28" i="9" s="1"/>
  <c r="PDW28" i="9" s="1"/>
  <c r="PDY28" i="9" s="1"/>
  <c r="PEA28" i="9" s="1"/>
  <c r="PEC28" i="9" s="1"/>
  <c r="PEE28" i="9" s="1"/>
  <c r="PEG28" i="9" s="1"/>
  <c r="PEI28" i="9" s="1"/>
  <c r="PEK28" i="9" s="1"/>
  <c r="PEM28" i="9" s="1"/>
  <c r="PEO28" i="9" s="1"/>
  <c r="PEQ28" i="9" s="1"/>
  <c r="PES28" i="9" s="1"/>
  <c r="PEU28" i="9" s="1"/>
  <c r="PEW28" i="9" s="1"/>
  <c r="PEY28" i="9" s="1"/>
  <c r="PFA28" i="9" s="1"/>
  <c r="PFC28" i="9" s="1"/>
  <c r="PFE28" i="9" s="1"/>
  <c r="PFG28" i="9" s="1"/>
  <c r="PFI28" i="9" s="1"/>
  <c r="PFK28" i="9" s="1"/>
  <c r="PFM28" i="9" s="1"/>
  <c r="PFO28" i="9" s="1"/>
  <c r="PFQ28" i="9" s="1"/>
  <c r="PFS28" i="9" s="1"/>
  <c r="PFU28" i="9" s="1"/>
  <c r="PFW28" i="9" s="1"/>
  <c r="PFY28" i="9" s="1"/>
  <c r="PGA28" i="9" s="1"/>
  <c r="PGC28" i="9" s="1"/>
  <c r="PGE28" i="9" s="1"/>
  <c r="PGG28" i="9" s="1"/>
  <c r="PGI28" i="9" s="1"/>
  <c r="PGK28" i="9" s="1"/>
  <c r="PGM28" i="9" s="1"/>
  <c r="PGO28" i="9" s="1"/>
  <c r="PGQ28" i="9" s="1"/>
  <c r="PGS28" i="9" s="1"/>
  <c r="PGU28" i="9" s="1"/>
  <c r="PGW28" i="9" s="1"/>
  <c r="PGY28" i="9" s="1"/>
  <c r="PHA28" i="9" s="1"/>
  <c r="PHC28" i="9" s="1"/>
  <c r="PHE28" i="9" s="1"/>
  <c r="PHG28" i="9" s="1"/>
  <c r="PHI28" i="9" s="1"/>
  <c r="PHK28" i="9" s="1"/>
  <c r="PHM28" i="9" s="1"/>
  <c r="PHO28" i="9" s="1"/>
  <c r="PHQ28" i="9" s="1"/>
  <c r="PHS28" i="9" s="1"/>
  <c r="PHU28" i="9" s="1"/>
  <c r="PHW28" i="9" s="1"/>
  <c r="PHY28" i="9" s="1"/>
  <c r="PIA28" i="9" s="1"/>
  <c r="PIC28" i="9" s="1"/>
  <c r="PIE28" i="9" s="1"/>
  <c r="PIG28" i="9" s="1"/>
  <c r="PII28" i="9" s="1"/>
  <c r="PIK28" i="9" s="1"/>
  <c r="PIM28" i="9" s="1"/>
  <c r="PIO28" i="9" s="1"/>
  <c r="PIQ28" i="9" s="1"/>
  <c r="PIS28" i="9" s="1"/>
  <c r="PIU28" i="9" s="1"/>
  <c r="PIW28" i="9" s="1"/>
  <c r="PIY28" i="9" s="1"/>
  <c r="PJA28" i="9" s="1"/>
  <c r="PJC28" i="9" s="1"/>
  <c r="PJE28" i="9" s="1"/>
  <c r="PJG28" i="9" s="1"/>
  <c r="PJI28" i="9" s="1"/>
  <c r="PJK28" i="9" s="1"/>
  <c r="PJM28" i="9" s="1"/>
  <c r="PJO28" i="9" s="1"/>
  <c r="PJQ28" i="9" s="1"/>
  <c r="PJS28" i="9" s="1"/>
  <c r="PJU28" i="9" s="1"/>
  <c r="PJW28" i="9" s="1"/>
  <c r="PJY28" i="9" s="1"/>
  <c r="PKA28" i="9" s="1"/>
  <c r="PKC28" i="9" s="1"/>
  <c r="PKE28" i="9" s="1"/>
  <c r="PKG28" i="9" s="1"/>
  <c r="PKI28" i="9" s="1"/>
  <c r="PKK28" i="9" s="1"/>
  <c r="PKM28" i="9" s="1"/>
  <c r="PKO28" i="9" s="1"/>
  <c r="PKQ28" i="9" s="1"/>
  <c r="PKS28" i="9" s="1"/>
  <c r="PKU28" i="9" s="1"/>
  <c r="PKW28" i="9" s="1"/>
  <c r="PKY28" i="9" s="1"/>
  <c r="PLA28" i="9" s="1"/>
  <c r="PLC28" i="9" s="1"/>
  <c r="PLE28" i="9" s="1"/>
  <c r="PLG28" i="9" s="1"/>
  <c r="PLI28" i="9" s="1"/>
  <c r="PLK28" i="9" s="1"/>
  <c r="PLM28" i="9" s="1"/>
  <c r="PLO28" i="9" s="1"/>
  <c r="PLQ28" i="9" s="1"/>
  <c r="PLS28" i="9" s="1"/>
  <c r="PLU28" i="9" s="1"/>
  <c r="PLW28" i="9" s="1"/>
  <c r="PLY28" i="9" s="1"/>
  <c r="PMA28" i="9" s="1"/>
  <c r="PMC28" i="9" s="1"/>
  <c r="PME28" i="9" s="1"/>
  <c r="PMG28" i="9" s="1"/>
  <c r="PMI28" i="9" s="1"/>
  <c r="PMK28" i="9" s="1"/>
  <c r="PMM28" i="9" s="1"/>
  <c r="PMO28" i="9" s="1"/>
  <c r="PMQ28" i="9" s="1"/>
  <c r="PMS28" i="9" s="1"/>
  <c r="PMU28" i="9" s="1"/>
  <c r="PMW28" i="9" s="1"/>
  <c r="PMY28" i="9" s="1"/>
  <c r="PNA28" i="9" s="1"/>
  <c r="PNC28" i="9" s="1"/>
  <c r="PNE28" i="9" s="1"/>
  <c r="PNG28" i="9" s="1"/>
  <c r="PNI28" i="9" s="1"/>
  <c r="PNK28" i="9" s="1"/>
  <c r="PNM28" i="9" s="1"/>
  <c r="PNO28" i="9" s="1"/>
  <c r="PNQ28" i="9" s="1"/>
  <c r="PNS28" i="9" s="1"/>
  <c r="PNU28" i="9" s="1"/>
  <c r="PNW28" i="9" s="1"/>
  <c r="PNY28" i="9" s="1"/>
  <c r="POA28" i="9" s="1"/>
  <c r="POC28" i="9" s="1"/>
  <c r="POE28" i="9" s="1"/>
  <c r="POG28" i="9" s="1"/>
  <c r="POI28" i="9" s="1"/>
  <c r="POK28" i="9" s="1"/>
  <c r="POM28" i="9" s="1"/>
  <c r="POO28" i="9" s="1"/>
  <c r="POQ28" i="9" s="1"/>
  <c r="POS28" i="9" s="1"/>
  <c r="POU28" i="9" s="1"/>
  <c r="POW28" i="9" s="1"/>
  <c r="POY28" i="9" s="1"/>
  <c r="PPA28" i="9" s="1"/>
  <c r="PPC28" i="9" s="1"/>
  <c r="PPE28" i="9" s="1"/>
  <c r="PPG28" i="9" s="1"/>
  <c r="PPI28" i="9" s="1"/>
  <c r="PPK28" i="9" s="1"/>
  <c r="PPM28" i="9" s="1"/>
  <c r="PPO28" i="9" s="1"/>
  <c r="PPQ28" i="9" s="1"/>
  <c r="PPS28" i="9" s="1"/>
  <c r="PPU28" i="9" s="1"/>
  <c r="PPW28" i="9" s="1"/>
  <c r="PPY28" i="9" s="1"/>
  <c r="PQA28" i="9" s="1"/>
  <c r="PQC28" i="9" s="1"/>
  <c r="PQE28" i="9" s="1"/>
  <c r="PQG28" i="9" s="1"/>
  <c r="PQI28" i="9" s="1"/>
  <c r="PQK28" i="9" s="1"/>
  <c r="PQM28" i="9" s="1"/>
  <c r="PQO28" i="9" s="1"/>
  <c r="PQQ28" i="9" s="1"/>
  <c r="PQS28" i="9" s="1"/>
  <c r="PQU28" i="9" s="1"/>
  <c r="PQW28" i="9" s="1"/>
  <c r="PQY28" i="9" s="1"/>
  <c r="PRA28" i="9" s="1"/>
  <c r="PRC28" i="9" s="1"/>
  <c r="PRE28" i="9" s="1"/>
  <c r="PRG28" i="9" s="1"/>
  <c r="PRI28" i="9" s="1"/>
  <c r="PRK28" i="9" s="1"/>
  <c r="PRM28" i="9" s="1"/>
  <c r="PRO28" i="9" s="1"/>
  <c r="PRQ28" i="9" s="1"/>
  <c r="PRS28" i="9" s="1"/>
  <c r="PRU28" i="9" s="1"/>
  <c r="PRW28" i="9" s="1"/>
  <c r="PRY28" i="9" s="1"/>
  <c r="PSA28" i="9" s="1"/>
  <c r="PSC28" i="9" s="1"/>
  <c r="PSE28" i="9" s="1"/>
  <c r="PSG28" i="9" s="1"/>
  <c r="PSI28" i="9" s="1"/>
  <c r="PSK28" i="9" s="1"/>
  <c r="PSM28" i="9" s="1"/>
  <c r="PSO28" i="9" s="1"/>
  <c r="PSQ28" i="9" s="1"/>
  <c r="PSS28" i="9" s="1"/>
  <c r="PSU28" i="9" s="1"/>
  <c r="PSW28" i="9" s="1"/>
  <c r="PSY28" i="9" s="1"/>
  <c r="PTA28" i="9" s="1"/>
  <c r="PTC28" i="9" s="1"/>
  <c r="PTE28" i="9" s="1"/>
  <c r="PTG28" i="9" s="1"/>
  <c r="PTI28" i="9" s="1"/>
  <c r="PTK28" i="9" s="1"/>
  <c r="PTM28" i="9" s="1"/>
  <c r="PTO28" i="9" s="1"/>
  <c r="PTQ28" i="9" s="1"/>
  <c r="PTS28" i="9" s="1"/>
  <c r="PTU28" i="9" s="1"/>
  <c r="PTW28" i="9" s="1"/>
  <c r="PTY28" i="9" s="1"/>
  <c r="PUA28" i="9" s="1"/>
  <c r="PUC28" i="9" s="1"/>
  <c r="PUE28" i="9" s="1"/>
  <c r="PUG28" i="9" s="1"/>
  <c r="PUI28" i="9" s="1"/>
  <c r="PUK28" i="9" s="1"/>
  <c r="PUM28" i="9" s="1"/>
  <c r="PUO28" i="9" s="1"/>
  <c r="PUQ28" i="9" s="1"/>
  <c r="PUS28" i="9" s="1"/>
  <c r="PUU28" i="9" s="1"/>
  <c r="PUW28" i="9" s="1"/>
  <c r="PUY28" i="9" s="1"/>
  <c r="PVA28" i="9" s="1"/>
  <c r="PVC28" i="9" s="1"/>
  <c r="PVE28" i="9" s="1"/>
  <c r="PVG28" i="9" s="1"/>
  <c r="PVI28" i="9" s="1"/>
  <c r="PVK28" i="9" s="1"/>
  <c r="PVM28" i="9" s="1"/>
  <c r="PVO28" i="9" s="1"/>
  <c r="PVQ28" i="9" s="1"/>
  <c r="PVS28" i="9" s="1"/>
  <c r="PVU28" i="9" s="1"/>
  <c r="PVW28" i="9" s="1"/>
  <c r="PVY28" i="9" s="1"/>
  <c r="PWA28" i="9" s="1"/>
  <c r="PWC28" i="9" s="1"/>
  <c r="PWE28" i="9" s="1"/>
  <c r="PWG28" i="9" s="1"/>
  <c r="PWI28" i="9" s="1"/>
  <c r="PWK28" i="9" s="1"/>
  <c r="PWM28" i="9" s="1"/>
  <c r="PWO28" i="9" s="1"/>
  <c r="PWQ28" i="9" s="1"/>
  <c r="PWS28" i="9" s="1"/>
  <c r="PWU28" i="9" s="1"/>
  <c r="PWW28" i="9" s="1"/>
  <c r="PWY28" i="9" s="1"/>
  <c r="PXA28" i="9" s="1"/>
  <c r="PXC28" i="9" s="1"/>
  <c r="PXE28" i="9" s="1"/>
  <c r="PXG28" i="9" s="1"/>
  <c r="PXI28" i="9" s="1"/>
  <c r="PXK28" i="9" s="1"/>
  <c r="PXM28" i="9" s="1"/>
  <c r="PXO28" i="9" s="1"/>
  <c r="PXQ28" i="9" s="1"/>
  <c r="PXS28" i="9" s="1"/>
  <c r="PXU28" i="9" s="1"/>
  <c r="PXW28" i="9" s="1"/>
  <c r="PXY28" i="9" s="1"/>
  <c r="PYA28" i="9" s="1"/>
  <c r="PYC28" i="9" s="1"/>
  <c r="PYE28" i="9" s="1"/>
  <c r="PYG28" i="9" s="1"/>
  <c r="PYI28" i="9" s="1"/>
  <c r="PYK28" i="9" s="1"/>
  <c r="PYM28" i="9" s="1"/>
  <c r="PYO28" i="9" s="1"/>
  <c r="PYQ28" i="9" s="1"/>
  <c r="PYS28" i="9" s="1"/>
  <c r="PYU28" i="9" s="1"/>
  <c r="PYW28" i="9" s="1"/>
  <c r="PYY28" i="9" s="1"/>
  <c r="PZA28" i="9" s="1"/>
  <c r="PZC28" i="9" s="1"/>
  <c r="PZE28" i="9" s="1"/>
  <c r="PZG28" i="9" s="1"/>
  <c r="PZI28" i="9" s="1"/>
  <c r="PZK28" i="9" s="1"/>
  <c r="PZM28" i="9" s="1"/>
  <c r="PZO28" i="9" s="1"/>
  <c r="PZQ28" i="9" s="1"/>
  <c r="PZS28" i="9" s="1"/>
  <c r="PZU28" i="9" s="1"/>
  <c r="PZW28" i="9" s="1"/>
  <c r="PZY28" i="9" s="1"/>
  <c r="QAA28" i="9" s="1"/>
  <c r="QAC28" i="9" s="1"/>
  <c r="QAE28" i="9" s="1"/>
  <c r="QAG28" i="9" s="1"/>
  <c r="QAI28" i="9" s="1"/>
  <c r="QAK28" i="9" s="1"/>
  <c r="QAM28" i="9" s="1"/>
  <c r="QAO28" i="9" s="1"/>
  <c r="QAQ28" i="9" s="1"/>
  <c r="QAS28" i="9" s="1"/>
  <c r="QAU28" i="9" s="1"/>
  <c r="QAW28" i="9" s="1"/>
  <c r="QAY28" i="9" s="1"/>
  <c r="QBA28" i="9" s="1"/>
  <c r="QBC28" i="9" s="1"/>
  <c r="QBE28" i="9" s="1"/>
  <c r="QBG28" i="9" s="1"/>
  <c r="QBI28" i="9" s="1"/>
  <c r="QBK28" i="9" s="1"/>
  <c r="QBM28" i="9" s="1"/>
  <c r="QBO28" i="9" s="1"/>
  <c r="QBQ28" i="9" s="1"/>
  <c r="QBS28" i="9" s="1"/>
  <c r="QBU28" i="9" s="1"/>
  <c r="QBW28" i="9" s="1"/>
  <c r="QBY28" i="9" s="1"/>
  <c r="QCA28" i="9" s="1"/>
  <c r="QCC28" i="9" s="1"/>
  <c r="QCE28" i="9" s="1"/>
  <c r="QCG28" i="9" s="1"/>
  <c r="QCI28" i="9" s="1"/>
  <c r="QCK28" i="9" s="1"/>
  <c r="QCM28" i="9" s="1"/>
  <c r="QCO28" i="9" s="1"/>
  <c r="QCQ28" i="9" s="1"/>
  <c r="QCS28" i="9" s="1"/>
  <c r="QCU28" i="9" s="1"/>
  <c r="QCW28" i="9" s="1"/>
  <c r="QCY28" i="9" s="1"/>
  <c r="QDA28" i="9" s="1"/>
  <c r="QDC28" i="9" s="1"/>
  <c r="QDE28" i="9" s="1"/>
  <c r="QDG28" i="9" s="1"/>
  <c r="QDI28" i="9" s="1"/>
  <c r="QDK28" i="9" s="1"/>
  <c r="QDM28" i="9" s="1"/>
  <c r="QDO28" i="9" s="1"/>
  <c r="QDQ28" i="9" s="1"/>
  <c r="QDS28" i="9" s="1"/>
  <c r="QDU28" i="9" s="1"/>
  <c r="QDW28" i="9" s="1"/>
  <c r="QDY28" i="9" s="1"/>
  <c r="QEA28" i="9" s="1"/>
  <c r="QEC28" i="9" s="1"/>
  <c r="QEE28" i="9" s="1"/>
  <c r="QEG28" i="9" s="1"/>
  <c r="QEI28" i="9" s="1"/>
  <c r="QEK28" i="9" s="1"/>
  <c r="QEM28" i="9" s="1"/>
  <c r="QEO28" i="9" s="1"/>
  <c r="QEQ28" i="9" s="1"/>
  <c r="QES28" i="9" s="1"/>
  <c r="QEU28" i="9" s="1"/>
  <c r="QEW28" i="9" s="1"/>
  <c r="QEY28" i="9" s="1"/>
  <c r="QFA28" i="9" s="1"/>
  <c r="QFC28" i="9" s="1"/>
  <c r="QFE28" i="9" s="1"/>
  <c r="QFG28" i="9" s="1"/>
  <c r="QFI28" i="9" s="1"/>
  <c r="QFK28" i="9" s="1"/>
  <c r="QFM28" i="9" s="1"/>
  <c r="QFO28" i="9" s="1"/>
  <c r="QFQ28" i="9" s="1"/>
  <c r="QFS28" i="9" s="1"/>
  <c r="QFU28" i="9" s="1"/>
  <c r="QFW28" i="9" s="1"/>
  <c r="QFY28" i="9" s="1"/>
  <c r="QGA28" i="9" s="1"/>
  <c r="QGC28" i="9" s="1"/>
  <c r="QGE28" i="9" s="1"/>
  <c r="QGG28" i="9" s="1"/>
  <c r="QGI28" i="9" s="1"/>
  <c r="QGK28" i="9" s="1"/>
  <c r="QGM28" i="9" s="1"/>
  <c r="QGO28" i="9" s="1"/>
  <c r="QGQ28" i="9" s="1"/>
  <c r="QGS28" i="9" s="1"/>
  <c r="QGU28" i="9" s="1"/>
  <c r="QGW28" i="9" s="1"/>
  <c r="QGY28" i="9" s="1"/>
  <c r="QHA28" i="9" s="1"/>
  <c r="QHC28" i="9" s="1"/>
  <c r="QHE28" i="9" s="1"/>
  <c r="QHG28" i="9" s="1"/>
  <c r="QHI28" i="9" s="1"/>
  <c r="QHK28" i="9" s="1"/>
  <c r="QHM28" i="9" s="1"/>
  <c r="QHO28" i="9" s="1"/>
  <c r="QHQ28" i="9" s="1"/>
  <c r="QHS28" i="9" s="1"/>
  <c r="QHU28" i="9" s="1"/>
  <c r="QHW28" i="9" s="1"/>
  <c r="QHY28" i="9" s="1"/>
  <c r="QIA28" i="9" s="1"/>
  <c r="QIC28" i="9" s="1"/>
  <c r="QIE28" i="9" s="1"/>
  <c r="QIG28" i="9" s="1"/>
  <c r="QII28" i="9" s="1"/>
  <c r="QIK28" i="9" s="1"/>
  <c r="QIM28" i="9" s="1"/>
  <c r="QIO28" i="9" s="1"/>
  <c r="QIQ28" i="9" s="1"/>
  <c r="QIS28" i="9" s="1"/>
  <c r="QIU28" i="9" s="1"/>
  <c r="QIW28" i="9" s="1"/>
  <c r="QIY28" i="9" s="1"/>
  <c r="QJA28" i="9" s="1"/>
  <c r="QJC28" i="9" s="1"/>
  <c r="QJE28" i="9" s="1"/>
  <c r="QJG28" i="9" s="1"/>
  <c r="QJI28" i="9" s="1"/>
  <c r="QJK28" i="9" s="1"/>
  <c r="QJM28" i="9" s="1"/>
  <c r="QJO28" i="9" s="1"/>
  <c r="QJQ28" i="9" s="1"/>
  <c r="QJS28" i="9" s="1"/>
  <c r="QJU28" i="9" s="1"/>
  <c r="QJW28" i="9" s="1"/>
  <c r="QJY28" i="9" s="1"/>
  <c r="QKA28" i="9" s="1"/>
  <c r="QKC28" i="9" s="1"/>
  <c r="QKE28" i="9" s="1"/>
  <c r="QKG28" i="9" s="1"/>
  <c r="QKI28" i="9" s="1"/>
  <c r="QKK28" i="9" s="1"/>
  <c r="QKM28" i="9" s="1"/>
  <c r="QKO28" i="9" s="1"/>
  <c r="QKQ28" i="9" s="1"/>
  <c r="QKS28" i="9" s="1"/>
  <c r="QKU28" i="9" s="1"/>
  <c r="QKW28" i="9" s="1"/>
  <c r="QKY28" i="9" s="1"/>
  <c r="QLA28" i="9" s="1"/>
  <c r="QLC28" i="9" s="1"/>
  <c r="QLE28" i="9" s="1"/>
  <c r="QLG28" i="9" s="1"/>
  <c r="QLI28" i="9" s="1"/>
  <c r="QLK28" i="9" s="1"/>
  <c r="QLM28" i="9" s="1"/>
  <c r="QLO28" i="9" s="1"/>
  <c r="QLQ28" i="9" s="1"/>
  <c r="QLS28" i="9" s="1"/>
  <c r="QLU28" i="9" s="1"/>
  <c r="QLW28" i="9" s="1"/>
  <c r="QLY28" i="9" s="1"/>
  <c r="QMA28" i="9" s="1"/>
  <c r="QMC28" i="9" s="1"/>
  <c r="QME28" i="9" s="1"/>
  <c r="QMG28" i="9" s="1"/>
  <c r="QMI28" i="9" s="1"/>
  <c r="QMK28" i="9" s="1"/>
  <c r="QMM28" i="9" s="1"/>
  <c r="QMO28" i="9" s="1"/>
  <c r="QMQ28" i="9" s="1"/>
  <c r="QMS28" i="9" s="1"/>
  <c r="QMU28" i="9" s="1"/>
  <c r="QMW28" i="9" s="1"/>
  <c r="QMY28" i="9" s="1"/>
  <c r="QNA28" i="9" s="1"/>
  <c r="QNC28" i="9" s="1"/>
  <c r="QNE28" i="9" s="1"/>
  <c r="QNG28" i="9" s="1"/>
  <c r="QNI28" i="9" s="1"/>
  <c r="QNK28" i="9" s="1"/>
  <c r="QNM28" i="9" s="1"/>
  <c r="QNO28" i="9" s="1"/>
  <c r="QNQ28" i="9" s="1"/>
  <c r="QNS28" i="9" s="1"/>
  <c r="QNU28" i="9" s="1"/>
  <c r="QNW28" i="9" s="1"/>
  <c r="QNY28" i="9" s="1"/>
  <c r="QOA28" i="9" s="1"/>
  <c r="QOC28" i="9" s="1"/>
  <c r="QOE28" i="9" s="1"/>
  <c r="QOG28" i="9" s="1"/>
  <c r="QOI28" i="9" s="1"/>
  <c r="QOK28" i="9" s="1"/>
  <c r="QOM28" i="9" s="1"/>
  <c r="QOO28" i="9" s="1"/>
  <c r="QOQ28" i="9" s="1"/>
  <c r="QOS28" i="9" s="1"/>
  <c r="QOU28" i="9" s="1"/>
  <c r="QOW28" i="9" s="1"/>
  <c r="QOY28" i="9" s="1"/>
  <c r="QPA28" i="9" s="1"/>
  <c r="QPC28" i="9" s="1"/>
  <c r="QPE28" i="9" s="1"/>
  <c r="QPG28" i="9" s="1"/>
  <c r="QPI28" i="9" s="1"/>
  <c r="QPK28" i="9" s="1"/>
  <c r="QPM28" i="9" s="1"/>
  <c r="QPO28" i="9" s="1"/>
  <c r="QPQ28" i="9" s="1"/>
  <c r="QPS28" i="9" s="1"/>
  <c r="QPU28" i="9" s="1"/>
  <c r="QPW28" i="9" s="1"/>
  <c r="QPY28" i="9" s="1"/>
  <c r="QQA28" i="9" s="1"/>
  <c r="QQC28" i="9" s="1"/>
  <c r="QQE28" i="9" s="1"/>
  <c r="QQG28" i="9" s="1"/>
  <c r="QQI28" i="9" s="1"/>
  <c r="QQK28" i="9" s="1"/>
  <c r="QQM28" i="9" s="1"/>
  <c r="QQO28" i="9" s="1"/>
  <c r="QQQ28" i="9" s="1"/>
  <c r="QQS28" i="9" s="1"/>
  <c r="QQU28" i="9" s="1"/>
  <c r="QQW28" i="9" s="1"/>
  <c r="QQY28" i="9" s="1"/>
  <c r="QRA28" i="9" s="1"/>
  <c r="QRC28" i="9" s="1"/>
  <c r="QRE28" i="9" s="1"/>
  <c r="QRG28" i="9" s="1"/>
  <c r="QRI28" i="9" s="1"/>
  <c r="QRK28" i="9" s="1"/>
  <c r="QRM28" i="9" s="1"/>
  <c r="QRO28" i="9" s="1"/>
  <c r="QRQ28" i="9" s="1"/>
  <c r="QRS28" i="9" s="1"/>
  <c r="QRU28" i="9" s="1"/>
  <c r="QRW28" i="9" s="1"/>
  <c r="QRY28" i="9" s="1"/>
  <c r="QSA28" i="9" s="1"/>
  <c r="QSC28" i="9" s="1"/>
  <c r="QSE28" i="9" s="1"/>
  <c r="QSG28" i="9" s="1"/>
  <c r="QSI28" i="9" s="1"/>
  <c r="QSK28" i="9" s="1"/>
  <c r="QSM28" i="9" s="1"/>
  <c r="QSO28" i="9" s="1"/>
  <c r="QSQ28" i="9" s="1"/>
  <c r="QSS28" i="9" s="1"/>
  <c r="QSU28" i="9" s="1"/>
  <c r="QSW28" i="9" s="1"/>
  <c r="QSY28" i="9" s="1"/>
  <c r="QTA28" i="9" s="1"/>
  <c r="QTC28" i="9" s="1"/>
  <c r="QTE28" i="9" s="1"/>
  <c r="QTG28" i="9" s="1"/>
  <c r="QTI28" i="9" s="1"/>
  <c r="QTK28" i="9" s="1"/>
  <c r="QTM28" i="9" s="1"/>
  <c r="QTO28" i="9" s="1"/>
  <c r="QTQ28" i="9" s="1"/>
  <c r="QTS28" i="9" s="1"/>
  <c r="QTU28" i="9" s="1"/>
  <c r="QTW28" i="9" s="1"/>
  <c r="QTY28" i="9" s="1"/>
  <c r="QUA28" i="9" s="1"/>
  <c r="QUC28" i="9" s="1"/>
  <c r="QUE28" i="9" s="1"/>
  <c r="QUG28" i="9" s="1"/>
  <c r="QUI28" i="9" s="1"/>
  <c r="QUK28" i="9" s="1"/>
  <c r="QUM28" i="9" s="1"/>
  <c r="QUO28" i="9" s="1"/>
  <c r="QUQ28" i="9" s="1"/>
  <c r="QUS28" i="9" s="1"/>
  <c r="QUU28" i="9" s="1"/>
  <c r="QUW28" i="9" s="1"/>
  <c r="QUY28" i="9" s="1"/>
  <c r="QVA28" i="9" s="1"/>
  <c r="QVC28" i="9" s="1"/>
  <c r="QVE28" i="9" s="1"/>
  <c r="QVG28" i="9" s="1"/>
  <c r="QVI28" i="9" s="1"/>
  <c r="QVK28" i="9" s="1"/>
  <c r="QVM28" i="9" s="1"/>
  <c r="QVO28" i="9" s="1"/>
  <c r="QVQ28" i="9" s="1"/>
  <c r="QVS28" i="9" s="1"/>
  <c r="QVU28" i="9" s="1"/>
  <c r="QVW28" i="9" s="1"/>
  <c r="QVY28" i="9" s="1"/>
  <c r="QWA28" i="9" s="1"/>
  <c r="QWC28" i="9" s="1"/>
  <c r="QWE28" i="9" s="1"/>
  <c r="QWG28" i="9" s="1"/>
  <c r="QWI28" i="9" s="1"/>
  <c r="QWK28" i="9" s="1"/>
  <c r="QWM28" i="9" s="1"/>
  <c r="QWO28" i="9" s="1"/>
  <c r="QWQ28" i="9" s="1"/>
  <c r="QWS28" i="9" s="1"/>
  <c r="QWU28" i="9" s="1"/>
  <c r="QWW28" i="9" s="1"/>
  <c r="QWY28" i="9" s="1"/>
  <c r="QXA28" i="9" s="1"/>
  <c r="QXC28" i="9" s="1"/>
  <c r="QXE28" i="9" s="1"/>
  <c r="QXG28" i="9" s="1"/>
  <c r="QXI28" i="9" s="1"/>
  <c r="QXK28" i="9" s="1"/>
  <c r="QXM28" i="9" s="1"/>
  <c r="QXO28" i="9" s="1"/>
  <c r="QXQ28" i="9" s="1"/>
  <c r="QXS28" i="9" s="1"/>
  <c r="QXU28" i="9" s="1"/>
  <c r="QXW28" i="9" s="1"/>
  <c r="QXY28" i="9" s="1"/>
  <c r="QYA28" i="9" s="1"/>
  <c r="QYC28" i="9" s="1"/>
  <c r="QYE28" i="9" s="1"/>
  <c r="QYG28" i="9" s="1"/>
  <c r="QYI28" i="9" s="1"/>
  <c r="QYK28" i="9" s="1"/>
  <c r="QYM28" i="9" s="1"/>
  <c r="QYO28" i="9" s="1"/>
  <c r="QYQ28" i="9" s="1"/>
  <c r="QYS28" i="9" s="1"/>
  <c r="QYU28" i="9" s="1"/>
  <c r="QYW28" i="9" s="1"/>
  <c r="QYY28" i="9" s="1"/>
  <c r="QZA28" i="9" s="1"/>
  <c r="QZC28" i="9" s="1"/>
  <c r="QZE28" i="9" s="1"/>
  <c r="QZG28" i="9" s="1"/>
  <c r="QZI28" i="9" s="1"/>
  <c r="QZK28" i="9" s="1"/>
  <c r="QZM28" i="9" s="1"/>
  <c r="QZO28" i="9" s="1"/>
  <c r="QZQ28" i="9" s="1"/>
  <c r="QZS28" i="9" s="1"/>
  <c r="QZU28" i="9" s="1"/>
  <c r="QZW28" i="9" s="1"/>
  <c r="QZY28" i="9" s="1"/>
  <c r="RAA28" i="9" s="1"/>
  <c r="RAC28" i="9" s="1"/>
  <c r="RAE28" i="9" s="1"/>
  <c r="RAG28" i="9" s="1"/>
  <c r="RAI28" i="9" s="1"/>
  <c r="RAK28" i="9" s="1"/>
  <c r="RAM28" i="9" s="1"/>
  <c r="RAO28" i="9" s="1"/>
  <c r="RAQ28" i="9" s="1"/>
  <c r="RAS28" i="9" s="1"/>
  <c r="RAU28" i="9" s="1"/>
  <c r="RAW28" i="9" s="1"/>
  <c r="RAY28" i="9" s="1"/>
  <c r="RBA28" i="9" s="1"/>
  <c r="RBC28" i="9" s="1"/>
  <c r="RBE28" i="9" s="1"/>
  <c r="RBG28" i="9" s="1"/>
  <c r="RBI28" i="9" s="1"/>
  <c r="RBK28" i="9" s="1"/>
  <c r="RBM28" i="9" s="1"/>
  <c r="RBO28" i="9" s="1"/>
  <c r="RBQ28" i="9" s="1"/>
  <c r="RBS28" i="9" s="1"/>
  <c r="RBU28" i="9" s="1"/>
  <c r="RBW28" i="9" s="1"/>
  <c r="RBY28" i="9" s="1"/>
  <c r="RCA28" i="9" s="1"/>
  <c r="RCC28" i="9" s="1"/>
  <c r="RCE28" i="9" s="1"/>
  <c r="RCG28" i="9" s="1"/>
  <c r="RCI28" i="9" s="1"/>
  <c r="RCK28" i="9" s="1"/>
  <c r="RCM28" i="9" s="1"/>
  <c r="RCO28" i="9" s="1"/>
  <c r="RCQ28" i="9" s="1"/>
  <c r="RCS28" i="9" s="1"/>
  <c r="RCU28" i="9" s="1"/>
  <c r="RCW28" i="9" s="1"/>
  <c r="RCY28" i="9" s="1"/>
  <c r="RDA28" i="9" s="1"/>
  <c r="RDC28" i="9" s="1"/>
  <c r="RDE28" i="9" s="1"/>
  <c r="RDG28" i="9" s="1"/>
  <c r="RDI28" i="9" s="1"/>
  <c r="RDK28" i="9" s="1"/>
  <c r="RDM28" i="9" s="1"/>
  <c r="RDO28" i="9" s="1"/>
  <c r="RDQ28" i="9" s="1"/>
  <c r="RDS28" i="9" s="1"/>
  <c r="RDU28" i="9" s="1"/>
  <c r="RDW28" i="9" s="1"/>
  <c r="RDY28" i="9" s="1"/>
  <c r="REA28" i="9" s="1"/>
  <c r="REC28" i="9" s="1"/>
  <c r="REE28" i="9" s="1"/>
  <c r="REG28" i="9" s="1"/>
  <c r="REI28" i="9" s="1"/>
  <c r="REK28" i="9" s="1"/>
  <c r="REM28" i="9" s="1"/>
  <c r="REO28" i="9" s="1"/>
  <c r="REQ28" i="9" s="1"/>
  <c r="RES28" i="9" s="1"/>
  <c r="REU28" i="9" s="1"/>
  <c r="REW28" i="9" s="1"/>
  <c r="REY28" i="9" s="1"/>
  <c r="RFA28" i="9" s="1"/>
  <c r="RFC28" i="9" s="1"/>
  <c r="RFE28" i="9" s="1"/>
  <c r="RFG28" i="9" s="1"/>
  <c r="RFI28" i="9" s="1"/>
  <c r="RFK28" i="9" s="1"/>
  <c r="RFM28" i="9" s="1"/>
  <c r="RFO28" i="9" s="1"/>
  <c r="RFQ28" i="9" s="1"/>
  <c r="RFS28" i="9" s="1"/>
  <c r="RFU28" i="9" s="1"/>
  <c r="RFW28" i="9" s="1"/>
  <c r="RFY28" i="9" s="1"/>
  <c r="RGA28" i="9" s="1"/>
  <c r="RGC28" i="9" s="1"/>
  <c r="RGE28" i="9" s="1"/>
  <c r="RGG28" i="9" s="1"/>
  <c r="RGI28" i="9" s="1"/>
  <c r="RGK28" i="9" s="1"/>
  <c r="RGM28" i="9" s="1"/>
  <c r="RGO28" i="9" s="1"/>
  <c r="RGQ28" i="9" s="1"/>
  <c r="RGS28" i="9" s="1"/>
  <c r="RGU28" i="9" s="1"/>
  <c r="RGW28" i="9" s="1"/>
  <c r="RGY28" i="9" s="1"/>
  <c r="RHA28" i="9" s="1"/>
  <c r="RHC28" i="9" s="1"/>
  <c r="RHE28" i="9" s="1"/>
  <c r="RHG28" i="9" s="1"/>
  <c r="RHI28" i="9" s="1"/>
  <c r="RHK28" i="9" s="1"/>
  <c r="RHM28" i="9" s="1"/>
  <c r="RHO28" i="9" s="1"/>
  <c r="RHQ28" i="9" s="1"/>
  <c r="RHS28" i="9" s="1"/>
  <c r="RHU28" i="9" s="1"/>
  <c r="RHW28" i="9" s="1"/>
  <c r="RHY28" i="9" s="1"/>
  <c r="RIA28" i="9" s="1"/>
  <c r="RIC28" i="9" s="1"/>
  <c r="RIE28" i="9" s="1"/>
  <c r="RIG28" i="9" s="1"/>
  <c r="RII28" i="9" s="1"/>
  <c r="RIK28" i="9" s="1"/>
  <c r="RIM28" i="9" s="1"/>
  <c r="RIO28" i="9" s="1"/>
  <c r="RIQ28" i="9" s="1"/>
  <c r="RIS28" i="9" s="1"/>
  <c r="RIU28" i="9" s="1"/>
  <c r="RIW28" i="9" s="1"/>
  <c r="RIY28" i="9" s="1"/>
  <c r="RJA28" i="9" s="1"/>
  <c r="RJC28" i="9" s="1"/>
  <c r="RJE28" i="9" s="1"/>
  <c r="RJG28" i="9" s="1"/>
  <c r="RJI28" i="9" s="1"/>
  <c r="RJK28" i="9" s="1"/>
  <c r="RJM28" i="9" s="1"/>
  <c r="RJO28" i="9" s="1"/>
  <c r="RJQ28" i="9" s="1"/>
  <c r="RJS28" i="9" s="1"/>
  <c r="RJU28" i="9" s="1"/>
  <c r="RJW28" i="9" s="1"/>
  <c r="RJY28" i="9" s="1"/>
  <c r="RKA28" i="9" s="1"/>
  <c r="RKC28" i="9" s="1"/>
  <c r="RKE28" i="9" s="1"/>
  <c r="RKG28" i="9" s="1"/>
  <c r="RKI28" i="9" s="1"/>
  <c r="RKK28" i="9" s="1"/>
  <c r="RKM28" i="9" s="1"/>
  <c r="RKO28" i="9" s="1"/>
  <c r="RKQ28" i="9" s="1"/>
  <c r="RKS28" i="9" s="1"/>
  <c r="RKU28" i="9" s="1"/>
  <c r="RKW28" i="9" s="1"/>
  <c r="RKY28" i="9" s="1"/>
  <c r="RLA28" i="9" s="1"/>
  <c r="RLC28" i="9" s="1"/>
  <c r="RLE28" i="9" s="1"/>
  <c r="RLG28" i="9" s="1"/>
  <c r="RLI28" i="9" s="1"/>
  <c r="RLK28" i="9" s="1"/>
  <c r="RLM28" i="9" s="1"/>
  <c r="RLO28" i="9" s="1"/>
  <c r="RLQ28" i="9" s="1"/>
  <c r="RLS28" i="9" s="1"/>
  <c r="RLU28" i="9" s="1"/>
  <c r="RLW28" i="9" s="1"/>
  <c r="RLY28" i="9" s="1"/>
  <c r="RMA28" i="9" s="1"/>
  <c r="RMC28" i="9" s="1"/>
  <c r="RME28" i="9" s="1"/>
  <c r="RMG28" i="9" s="1"/>
  <c r="RMI28" i="9" s="1"/>
  <c r="RMK28" i="9" s="1"/>
  <c r="RMM28" i="9" s="1"/>
  <c r="RMO28" i="9" s="1"/>
  <c r="RMQ28" i="9" s="1"/>
  <c r="RMS28" i="9" s="1"/>
  <c r="RMU28" i="9" s="1"/>
  <c r="RMW28" i="9" s="1"/>
  <c r="RMY28" i="9" s="1"/>
  <c r="RNA28" i="9" s="1"/>
  <c r="RNC28" i="9" s="1"/>
  <c r="RNE28" i="9" s="1"/>
  <c r="RNG28" i="9" s="1"/>
  <c r="RNI28" i="9" s="1"/>
  <c r="RNK28" i="9" s="1"/>
  <c r="RNM28" i="9" s="1"/>
  <c r="RNO28" i="9" s="1"/>
  <c r="RNQ28" i="9" s="1"/>
  <c r="RNS28" i="9" s="1"/>
  <c r="RNU28" i="9" s="1"/>
  <c r="RNW28" i="9" s="1"/>
  <c r="RNY28" i="9" s="1"/>
  <c r="ROA28" i="9" s="1"/>
  <c r="ROC28" i="9" s="1"/>
  <c r="ROE28" i="9" s="1"/>
  <c r="ROG28" i="9" s="1"/>
  <c r="ROI28" i="9" s="1"/>
  <c r="ROK28" i="9" s="1"/>
  <c r="ROM28" i="9" s="1"/>
  <c r="ROO28" i="9" s="1"/>
  <c r="ROQ28" i="9" s="1"/>
  <c r="ROS28" i="9" s="1"/>
  <c r="ROU28" i="9" s="1"/>
  <c r="ROW28" i="9" s="1"/>
  <c r="ROY28" i="9" s="1"/>
  <c r="RPA28" i="9" s="1"/>
  <c r="RPC28" i="9" s="1"/>
  <c r="RPE28" i="9" s="1"/>
  <c r="RPG28" i="9" s="1"/>
  <c r="RPI28" i="9" s="1"/>
  <c r="RPK28" i="9" s="1"/>
  <c r="RPM28" i="9" s="1"/>
  <c r="RPO28" i="9" s="1"/>
  <c r="RPQ28" i="9" s="1"/>
  <c r="RPS28" i="9" s="1"/>
  <c r="RPU28" i="9" s="1"/>
  <c r="RPW28" i="9" s="1"/>
  <c r="RPY28" i="9" s="1"/>
  <c r="RQA28" i="9" s="1"/>
  <c r="RQC28" i="9" s="1"/>
  <c r="RQE28" i="9" s="1"/>
  <c r="RQG28" i="9" s="1"/>
  <c r="RQI28" i="9" s="1"/>
  <c r="RQK28" i="9" s="1"/>
  <c r="RQM28" i="9" s="1"/>
  <c r="RQO28" i="9" s="1"/>
  <c r="RQQ28" i="9" s="1"/>
  <c r="RQS28" i="9" s="1"/>
  <c r="RQU28" i="9" s="1"/>
  <c r="RQW28" i="9" s="1"/>
  <c r="RQY28" i="9" s="1"/>
  <c r="RRA28" i="9" s="1"/>
  <c r="RRC28" i="9" s="1"/>
  <c r="RRE28" i="9" s="1"/>
  <c r="RRG28" i="9" s="1"/>
  <c r="RRI28" i="9" s="1"/>
  <c r="RRK28" i="9" s="1"/>
  <c r="RRM28" i="9" s="1"/>
  <c r="RRO28" i="9" s="1"/>
  <c r="RRQ28" i="9" s="1"/>
  <c r="RRS28" i="9" s="1"/>
  <c r="RRU28" i="9" s="1"/>
  <c r="RRW28" i="9" s="1"/>
  <c r="RRY28" i="9" s="1"/>
  <c r="RSA28" i="9" s="1"/>
  <c r="RSC28" i="9" s="1"/>
  <c r="RSE28" i="9" s="1"/>
  <c r="RSG28" i="9" s="1"/>
  <c r="RSI28" i="9" s="1"/>
  <c r="RSK28" i="9" s="1"/>
  <c r="RSM28" i="9" s="1"/>
  <c r="RSO28" i="9" s="1"/>
  <c r="RSQ28" i="9" s="1"/>
  <c r="RSS28" i="9" s="1"/>
  <c r="RSU28" i="9" s="1"/>
  <c r="RSW28" i="9" s="1"/>
  <c r="RSY28" i="9" s="1"/>
  <c r="RTA28" i="9" s="1"/>
  <c r="RTC28" i="9" s="1"/>
  <c r="RTE28" i="9" s="1"/>
  <c r="RTG28" i="9" s="1"/>
  <c r="RTI28" i="9" s="1"/>
  <c r="RTK28" i="9" s="1"/>
  <c r="RTM28" i="9" s="1"/>
  <c r="RTO28" i="9" s="1"/>
  <c r="RTQ28" i="9" s="1"/>
  <c r="RTS28" i="9" s="1"/>
  <c r="RTU28" i="9" s="1"/>
  <c r="RTW28" i="9" s="1"/>
  <c r="RTY28" i="9" s="1"/>
  <c r="RUA28" i="9" s="1"/>
  <c r="RUC28" i="9" s="1"/>
  <c r="RUE28" i="9" s="1"/>
  <c r="RUG28" i="9" s="1"/>
  <c r="RUI28" i="9" s="1"/>
  <c r="RUK28" i="9" s="1"/>
  <c r="RUM28" i="9" s="1"/>
  <c r="RUO28" i="9" s="1"/>
  <c r="RUQ28" i="9" s="1"/>
  <c r="RUS28" i="9" s="1"/>
  <c r="RUU28" i="9" s="1"/>
  <c r="RUW28" i="9" s="1"/>
  <c r="RUY28" i="9" s="1"/>
  <c r="RVA28" i="9" s="1"/>
  <c r="RVC28" i="9" s="1"/>
  <c r="RVE28" i="9" s="1"/>
  <c r="RVG28" i="9" s="1"/>
  <c r="RVI28" i="9" s="1"/>
  <c r="RVK28" i="9" s="1"/>
  <c r="RVM28" i="9" s="1"/>
  <c r="RVO28" i="9" s="1"/>
  <c r="RVQ28" i="9" s="1"/>
  <c r="RVS28" i="9" s="1"/>
  <c r="RVU28" i="9" s="1"/>
  <c r="RVW28" i="9" s="1"/>
  <c r="RVY28" i="9" s="1"/>
  <c r="RWA28" i="9" s="1"/>
  <c r="RWC28" i="9" s="1"/>
  <c r="RWE28" i="9" s="1"/>
  <c r="RWG28" i="9" s="1"/>
  <c r="RWI28" i="9" s="1"/>
  <c r="RWK28" i="9" s="1"/>
  <c r="RWM28" i="9" s="1"/>
  <c r="RWO28" i="9" s="1"/>
  <c r="RWQ28" i="9" s="1"/>
  <c r="RWS28" i="9" s="1"/>
  <c r="RWU28" i="9" s="1"/>
  <c r="RWW28" i="9" s="1"/>
  <c r="RWY28" i="9" s="1"/>
  <c r="RXA28" i="9" s="1"/>
  <c r="RXC28" i="9" s="1"/>
  <c r="RXE28" i="9" s="1"/>
  <c r="RXG28" i="9" s="1"/>
  <c r="RXI28" i="9" s="1"/>
  <c r="RXK28" i="9" s="1"/>
  <c r="RXM28" i="9" s="1"/>
  <c r="RXO28" i="9" s="1"/>
  <c r="RXQ28" i="9" s="1"/>
  <c r="RXS28" i="9" s="1"/>
  <c r="RXU28" i="9" s="1"/>
  <c r="RXW28" i="9" s="1"/>
  <c r="RXY28" i="9" s="1"/>
  <c r="RYA28" i="9" s="1"/>
  <c r="RYC28" i="9" s="1"/>
  <c r="RYE28" i="9" s="1"/>
  <c r="RYG28" i="9" s="1"/>
  <c r="RYI28" i="9" s="1"/>
  <c r="RYK28" i="9" s="1"/>
  <c r="RYM28" i="9" s="1"/>
  <c r="RYO28" i="9" s="1"/>
  <c r="RYQ28" i="9" s="1"/>
  <c r="RYS28" i="9" s="1"/>
  <c r="RYU28" i="9" s="1"/>
  <c r="RYW28" i="9" s="1"/>
  <c r="RYY28" i="9" s="1"/>
  <c r="RZA28" i="9" s="1"/>
  <c r="RZC28" i="9" s="1"/>
  <c r="RZE28" i="9" s="1"/>
  <c r="RZG28" i="9" s="1"/>
  <c r="RZI28" i="9" s="1"/>
  <c r="RZK28" i="9" s="1"/>
  <c r="RZM28" i="9" s="1"/>
  <c r="RZO28" i="9" s="1"/>
  <c r="RZQ28" i="9" s="1"/>
  <c r="RZS28" i="9" s="1"/>
  <c r="RZU28" i="9" s="1"/>
  <c r="RZW28" i="9" s="1"/>
  <c r="RZY28" i="9" s="1"/>
  <c r="SAA28" i="9" s="1"/>
  <c r="SAC28" i="9" s="1"/>
  <c r="SAE28" i="9" s="1"/>
  <c r="SAG28" i="9" s="1"/>
  <c r="SAI28" i="9" s="1"/>
  <c r="SAK28" i="9" s="1"/>
  <c r="SAM28" i="9" s="1"/>
  <c r="SAO28" i="9" s="1"/>
  <c r="SAQ28" i="9" s="1"/>
  <c r="SAS28" i="9" s="1"/>
  <c r="SAU28" i="9" s="1"/>
  <c r="SAW28" i="9" s="1"/>
  <c r="SAY28" i="9" s="1"/>
  <c r="SBA28" i="9" s="1"/>
  <c r="SBC28" i="9" s="1"/>
  <c r="SBE28" i="9" s="1"/>
  <c r="SBG28" i="9" s="1"/>
  <c r="SBI28" i="9" s="1"/>
  <c r="SBK28" i="9" s="1"/>
  <c r="SBM28" i="9" s="1"/>
  <c r="SBO28" i="9" s="1"/>
  <c r="SBQ28" i="9" s="1"/>
  <c r="SBS28" i="9" s="1"/>
  <c r="SBU28" i="9" s="1"/>
  <c r="SBW28" i="9" s="1"/>
  <c r="SBY28" i="9" s="1"/>
  <c r="SCA28" i="9" s="1"/>
  <c r="SCC28" i="9" s="1"/>
  <c r="SCE28" i="9" s="1"/>
  <c r="SCG28" i="9" s="1"/>
  <c r="SCI28" i="9" s="1"/>
  <c r="SCK28" i="9" s="1"/>
  <c r="SCM28" i="9" s="1"/>
  <c r="SCO28" i="9" s="1"/>
  <c r="SCQ28" i="9" s="1"/>
  <c r="SCS28" i="9" s="1"/>
  <c r="SCU28" i="9" s="1"/>
  <c r="SCW28" i="9" s="1"/>
  <c r="SCY28" i="9" s="1"/>
  <c r="SDA28" i="9" s="1"/>
  <c r="SDC28" i="9" s="1"/>
  <c r="SDE28" i="9" s="1"/>
  <c r="SDG28" i="9" s="1"/>
  <c r="SDI28" i="9" s="1"/>
  <c r="SDK28" i="9" s="1"/>
  <c r="SDM28" i="9" s="1"/>
  <c r="SDO28" i="9" s="1"/>
  <c r="SDQ28" i="9" s="1"/>
  <c r="SDS28" i="9" s="1"/>
  <c r="SDU28" i="9" s="1"/>
  <c r="SDW28" i="9" s="1"/>
  <c r="SDY28" i="9" s="1"/>
  <c r="SEA28" i="9" s="1"/>
  <c r="SEC28" i="9" s="1"/>
  <c r="SEE28" i="9" s="1"/>
  <c r="SEG28" i="9" s="1"/>
  <c r="SEI28" i="9" s="1"/>
  <c r="SEK28" i="9" s="1"/>
  <c r="SEM28" i="9" s="1"/>
  <c r="SEO28" i="9" s="1"/>
  <c r="SEQ28" i="9" s="1"/>
  <c r="SES28" i="9" s="1"/>
  <c r="SEU28" i="9" s="1"/>
  <c r="SEW28" i="9" s="1"/>
  <c r="SEY28" i="9" s="1"/>
  <c r="SFA28" i="9" s="1"/>
  <c r="SFC28" i="9" s="1"/>
  <c r="SFE28" i="9" s="1"/>
  <c r="SFG28" i="9" s="1"/>
  <c r="SFI28" i="9" s="1"/>
  <c r="SFK28" i="9" s="1"/>
  <c r="SFM28" i="9" s="1"/>
  <c r="SFO28" i="9" s="1"/>
  <c r="SFQ28" i="9" s="1"/>
  <c r="SFS28" i="9" s="1"/>
  <c r="SFU28" i="9" s="1"/>
  <c r="SFW28" i="9" s="1"/>
  <c r="SFY28" i="9" s="1"/>
  <c r="SGA28" i="9" s="1"/>
  <c r="SGC28" i="9" s="1"/>
  <c r="SGE28" i="9" s="1"/>
  <c r="SGG28" i="9" s="1"/>
  <c r="SGI28" i="9" s="1"/>
  <c r="SGK28" i="9" s="1"/>
  <c r="SGM28" i="9" s="1"/>
  <c r="SGO28" i="9" s="1"/>
  <c r="SGQ28" i="9" s="1"/>
  <c r="SGS28" i="9" s="1"/>
  <c r="SGU28" i="9" s="1"/>
  <c r="SGW28" i="9" s="1"/>
  <c r="SGY28" i="9" s="1"/>
  <c r="SHA28" i="9" s="1"/>
  <c r="SHC28" i="9" s="1"/>
  <c r="SHE28" i="9" s="1"/>
  <c r="SHG28" i="9" s="1"/>
  <c r="SHI28" i="9" s="1"/>
  <c r="SHK28" i="9" s="1"/>
  <c r="SHM28" i="9" s="1"/>
  <c r="SHO28" i="9" s="1"/>
  <c r="SHQ28" i="9" s="1"/>
  <c r="SHS28" i="9" s="1"/>
  <c r="SHU28" i="9" s="1"/>
  <c r="SHW28" i="9" s="1"/>
  <c r="SHY28" i="9" s="1"/>
  <c r="SIA28" i="9" s="1"/>
  <c r="SIC28" i="9" s="1"/>
  <c r="SIE28" i="9" s="1"/>
  <c r="SIG28" i="9" s="1"/>
  <c r="SII28" i="9" s="1"/>
  <c r="SIK28" i="9" s="1"/>
  <c r="SIM28" i="9" s="1"/>
  <c r="SIO28" i="9" s="1"/>
  <c r="SIQ28" i="9" s="1"/>
  <c r="SIS28" i="9" s="1"/>
  <c r="SIU28" i="9" s="1"/>
  <c r="SIW28" i="9" s="1"/>
  <c r="SIY28" i="9" s="1"/>
  <c r="SJA28" i="9" s="1"/>
  <c r="SJC28" i="9" s="1"/>
  <c r="SJE28" i="9" s="1"/>
  <c r="SJG28" i="9" s="1"/>
  <c r="SJI28" i="9" s="1"/>
  <c r="SJK28" i="9" s="1"/>
  <c r="SJM28" i="9" s="1"/>
  <c r="SJO28" i="9" s="1"/>
  <c r="SJQ28" i="9" s="1"/>
  <c r="SJS28" i="9" s="1"/>
  <c r="SJU28" i="9" s="1"/>
  <c r="SJW28" i="9" s="1"/>
  <c r="SJY28" i="9" s="1"/>
  <c r="SKA28" i="9" s="1"/>
  <c r="SKC28" i="9" s="1"/>
  <c r="SKE28" i="9" s="1"/>
  <c r="SKG28" i="9" s="1"/>
  <c r="SKI28" i="9" s="1"/>
  <c r="SKK28" i="9" s="1"/>
  <c r="SKM28" i="9" s="1"/>
  <c r="SKO28" i="9" s="1"/>
  <c r="SKQ28" i="9" s="1"/>
  <c r="SKS28" i="9" s="1"/>
  <c r="SKU28" i="9" s="1"/>
  <c r="SKW28" i="9" s="1"/>
  <c r="SKY28" i="9" s="1"/>
  <c r="SLA28" i="9" s="1"/>
  <c r="SLC28" i="9" s="1"/>
  <c r="SLE28" i="9" s="1"/>
  <c r="SLG28" i="9" s="1"/>
  <c r="SLI28" i="9" s="1"/>
  <c r="SLK28" i="9" s="1"/>
  <c r="SLM28" i="9" s="1"/>
  <c r="SLO28" i="9" s="1"/>
  <c r="SLQ28" i="9" s="1"/>
  <c r="SLS28" i="9" s="1"/>
  <c r="SLU28" i="9" s="1"/>
  <c r="SLW28" i="9" s="1"/>
  <c r="SLY28" i="9" s="1"/>
  <c r="SMA28" i="9" s="1"/>
  <c r="SMC28" i="9" s="1"/>
  <c r="SME28" i="9" s="1"/>
  <c r="SMG28" i="9" s="1"/>
  <c r="SMI28" i="9" s="1"/>
  <c r="SMK28" i="9" s="1"/>
  <c r="SMM28" i="9" s="1"/>
  <c r="SMO28" i="9" s="1"/>
  <c r="SMQ28" i="9" s="1"/>
  <c r="SMS28" i="9" s="1"/>
  <c r="SMU28" i="9" s="1"/>
  <c r="SMW28" i="9" s="1"/>
  <c r="SMY28" i="9" s="1"/>
  <c r="SNA28" i="9" s="1"/>
  <c r="SNC28" i="9" s="1"/>
  <c r="SNE28" i="9" s="1"/>
  <c r="SNG28" i="9" s="1"/>
  <c r="SNI28" i="9" s="1"/>
  <c r="SNK28" i="9" s="1"/>
  <c r="SNM28" i="9" s="1"/>
  <c r="SNO28" i="9" s="1"/>
  <c r="SNQ28" i="9" s="1"/>
  <c r="SNS28" i="9" s="1"/>
  <c r="SNU28" i="9" s="1"/>
  <c r="SNW28" i="9" s="1"/>
  <c r="SNY28" i="9" s="1"/>
  <c r="SOA28" i="9" s="1"/>
  <c r="SOC28" i="9" s="1"/>
  <c r="SOE28" i="9" s="1"/>
  <c r="SOG28" i="9" s="1"/>
  <c r="SOI28" i="9" s="1"/>
  <c r="SOK28" i="9" s="1"/>
  <c r="SOM28" i="9" s="1"/>
  <c r="SOO28" i="9" s="1"/>
  <c r="SOQ28" i="9" s="1"/>
  <c r="SOS28" i="9" s="1"/>
  <c r="SOU28" i="9" s="1"/>
  <c r="SOW28" i="9" s="1"/>
  <c r="SOY28" i="9" s="1"/>
  <c r="SPA28" i="9" s="1"/>
  <c r="SPC28" i="9" s="1"/>
  <c r="SPE28" i="9" s="1"/>
  <c r="SPG28" i="9" s="1"/>
  <c r="SPI28" i="9" s="1"/>
  <c r="SPK28" i="9" s="1"/>
  <c r="SPM28" i="9" s="1"/>
  <c r="SPO28" i="9" s="1"/>
  <c r="SPQ28" i="9" s="1"/>
  <c r="SPS28" i="9" s="1"/>
  <c r="SPU28" i="9" s="1"/>
  <c r="SPW28" i="9" s="1"/>
  <c r="SPY28" i="9" s="1"/>
  <c r="SQA28" i="9" s="1"/>
  <c r="SQC28" i="9" s="1"/>
  <c r="SQE28" i="9" s="1"/>
  <c r="SQG28" i="9" s="1"/>
  <c r="SQI28" i="9" s="1"/>
  <c r="SQK28" i="9" s="1"/>
  <c r="SQM28" i="9" s="1"/>
  <c r="SQO28" i="9" s="1"/>
  <c r="SQQ28" i="9" s="1"/>
  <c r="SQS28" i="9" s="1"/>
  <c r="SQU28" i="9" s="1"/>
  <c r="SQW28" i="9" s="1"/>
  <c r="SQY28" i="9" s="1"/>
  <c r="SRA28" i="9" s="1"/>
  <c r="SRC28" i="9" s="1"/>
  <c r="SRE28" i="9" s="1"/>
  <c r="SRG28" i="9" s="1"/>
  <c r="SRI28" i="9" s="1"/>
  <c r="SRK28" i="9" s="1"/>
  <c r="SRM28" i="9" s="1"/>
  <c r="SRO28" i="9" s="1"/>
  <c r="SRQ28" i="9" s="1"/>
  <c r="SRS28" i="9" s="1"/>
  <c r="SRU28" i="9" s="1"/>
  <c r="SRW28" i="9" s="1"/>
  <c r="SRY28" i="9" s="1"/>
  <c r="SSA28" i="9" s="1"/>
  <c r="SSC28" i="9" s="1"/>
  <c r="SSE28" i="9" s="1"/>
  <c r="SSG28" i="9" s="1"/>
  <c r="SSI28" i="9" s="1"/>
  <c r="SSK28" i="9" s="1"/>
  <c r="SSM28" i="9" s="1"/>
  <c r="SSO28" i="9" s="1"/>
  <c r="SSQ28" i="9" s="1"/>
  <c r="SSS28" i="9" s="1"/>
  <c r="SSU28" i="9" s="1"/>
  <c r="SSW28" i="9" s="1"/>
  <c r="SSY28" i="9" s="1"/>
  <c r="STA28" i="9" s="1"/>
  <c r="STC28" i="9" s="1"/>
  <c r="STE28" i="9" s="1"/>
  <c r="STG28" i="9" s="1"/>
  <c r="STI28" i="9" s="1"/>
  <c r="STK28" i="9" s="1"/>
  <c r="STM28" i="9" s="1"/>
  <c r="STO28" i="9" s="1"/>
  <c r="STQ28" i="9" s="1"/>
  <c r="STS28" i="9" s="1"/>
  <c r="STU28" i="9" s="1"/>
  <c r="STW28" i="9" s="1"/>
  <c r="STY28" i="9" s="1"/>
  <c r="SUA28" i="9" s="1"/>
  <c r="SUC28" i="9" s="1"/>
  <c r="SUE28" i="9" s="1"/>
  <c r="SUG28" i="9" s="1"/>
  <c r="SUI28" i="9" s="1"/>
  <c r="SUK28" i="9" s="1"/>
  <c r="SUM28" i="9" s="1"/>
  <c r="SUO28" i="9" s="1"/>
  <c r="SUQ28" i="9" s="1"/>
  <c r="SUS28" i="9" s="1"/>
  <c r="SUU28" i="9" s="1"/>
  <c r="SUW28" i="9" s="1"/>
  <c r="SUY28" i="9" s="1"/>
  <c r="SVA28" i="9" s="1"/>
  <c r="SVC28" i="9" s="1"/>
  <c r="SVE28" i="9" s="1"/>
  <c r="SVG28" i="9" s="1"/>
  <c r="SVI28" i="9" s="1"/>
  <c r="SVK28" i="9" s="1"/>
  <c r="SVM28" i="9" s="1"/>
  <c r="SVO28" i="9" s="1"/>
  <c r="SVQ28" i="9" s="1"/>
  <c r="SVS28" i="9" s="1"/>
  <c r="SVU28" i="9" s="1"/>
  <c r="SVW28" i="9" s="1"/>
  <c r="SVY28" i="9" s="1"/>
  <c r="SWA28" i="9" s="1"/>
  <c r="SWC28" i="9" s="1"/>
  <c r="SWE28" i="9" s="1"/>
  <c r="SWG28" i="9" s="1"/>
  <c r="SWI28" i="9" s="1"/>
  <c r="SWK28" i="9" s="1"/>
  <c r="SWM28" i="9" s="1"/>
  <c r="SWO28" i="9" s="1"/>
  <c r="SWQ28" i="9" s="1"/>
  <c r="SWS28" i="9" s="1"/>
  <c r="SWU28" i="9" s="1"/>
  <c r="SWW28" i="9" s="1"/>
  <c r="SWY28" i="9" s="1"/>
  <c r="SXA28" i="9" s="1"/>
  <c r="SXC28" i="9" s="1"/>
  <c r="SXE28" i="9" s="1"/>
  <c r="SXG28" i="9" s="1"/>
  <c r="SXI28" i="9" s="1"/>
  <c r="SXK28" i="9" s="1"/>
  <c r="SXM28" i="9" s="1"/>
  <c r="SXO28" i="9" s="1"/>
  <c r="SXQ28" i="9" s="1"/>
  <c r="SXS28" i="9" s="1"/>
  <c r="SXU28" i="9" s="1"/>
  <c r="SXW28" i="9" s="1"/>
  <c r="SXY28" i="9" s="1"/>
  <c r="SYA28" i="9" s="1"/>
  <c r="SYC28" i="9" s="1"/>
  <c r="SYE28" i="9" s="1"/>
  <c r="SYG28" i="9" s="1"/>
  <c r="SYI28" i="9" s="1"/>
  <c r="SYK28" i="9" s="1"/>
  <c r="SYM28" i="9" s="1"/>
  <c r="SYO28" i="9" s="1"/>
  <c r="SYQ28" i="9" s="1"/>
  <c r="SYS28" i="9" s="1"/>
  <c r="SYU28" i="9" s="1"/>
  <c r="SYW28" i="9" s="1"/>
  <c r="SYY28" i="9" s="1"/>
  <c r="SZA28" i="9" s="1"/>
  <c r="SZC28" i="9" s="1"/>
  <c r="SZE28" i="9" s="1"/>
  <c r="SZG28" i="9" s="1"/>
  <c r="SZI28" i="9" s="1"/>
  <c r="SZK28" i="9" s="1"/>
  <c r="SZM28" i="9" s="1"/>
  <c r="SZO28" i="9" s="1"/>
  <c r="SZQ28" i="9" s="1"/>
  <c r="SZS28" i="9" s="1"/>
  <c r="SZU28" i="9" s="1"/>
  <c r="SZW28" i="9" s="1"/>
  <c r="SZY28" i="9" s="1"/>
  <c r="TAA28" i="9" s="1"/>
  <c r="TAC28" i="9" s="1"/>
  <c r="TAE28" i="9" s="1"/>
  <c r="TAG28" i="9" s="1"/>
  <c r="TAI28" i="9" s="1"/>
  <c r="TAK28" i="9" s="1"/>
  <c r="TAM28" i="9" s="1"/>
  <c r="TAO28" i="9" s="1"/>
  <c r="TAQ28" i="9" s="1"/>
  <c r="TAS28" i="9" s="1"/>
  <c r="TAU28" i="9" s="1"/>
  <c r="TAW28" i="9" s="1"/>
  <c r="TAY28" i="9" s="1"/>
  <c r="TBA28" i="9" s="1"/>
  <c r="TBC28" i="9" s="1"/>
  <c r="TBE28" i="9" s="1"/>
  <c r="TBG28" i="9" s="1"/>
  <c r="TBI28" i="9" s="1"/>
  <c r="TBK28" i="9" s="1"/>
  <c r="TBM28" i="9" s="1"/>
  <c r="TBO28" i="9" s="1"/>
  <c r="TBQ28" i="9" s="1"/>
  <c r="TBS28" i="9" s="1"/>
  <c r="TBU28" i="9" s="1"/>
  <c r="TBW28" i="9" s="1"/>
  <c r="TBY28" i="9" s="1"/>
  <c r="TCA28" i="9" s="1"/>
  <c r="TCC28" i="9" s="1"/>
  <c r="TCE28" i="9" s="1"/>
  <c r="TCG28" i="9" s="1"/>
  <c r="TCI28" i="9" s="1"/>
  <c r="TCK28" i="9" s="1"/>
  <c r="TCM28" i="9" s="1"/>
  <c r="TCO28" i="9" s="1"/>
  <c r="TCQ28" i="9" s="1"/>
  <c r="TCS28" i="9" s="1"/>
  <c r="TCU28" i="9" s="1"/>
  <c r="TCW28" i="9" s="1"/>
  <c r="TCY28" i="9" s="1"/>
  <c r="TDA28" i="9" s="1"/>
  <c r="TDC28" i="9" s="1"/>
  <c r="TDE28" i="9" s="1"/>
  <c r="TDG28" i="9" s="1"/>
  <c r="TDI28" i="9" s="1"/>
  <c r="TDK28" i="9" s="1"/>
  <c r="TDM28" i="9" s="1"/>
  <c r="TDO28" i="9" s="1"/>
  <c r="TDQ28" i="9" s="1"/>
  <c r="TDS28" i="9" s="1"/>
  <c r="TDU28" i="9" s="1"/>
  <c r="TDW28" i="9" s="1"/>
  <c r="TDY28" i="9" s="1"/>
  <c r="TEA28" i="9" s="1"/>
  <c r="TEC28" i="9" s="1"/>
  <c r="TEE28" i="9" s="1"/>
  <c r="TEG28" i="9" s="1"/>
  <c r="TEI28" i="9" s="1"/>
  <c r="TEK28" i="9" s="1"/>
  <c r="TEM28" i="9" s="1"/>
  <c r="TEO28" i="9" s="1"/>
  <c r="TEQ28" i="9" s="1"/>
  <c r="TES28" i="9" s="1"/>
  <c r="TEU28" i="9" s="1"/>
  <c r="TEW28" i="9" s="1"/>
  <c r="TEY28" i="9" s="1"/>
  <c r="TFA28" i="9" s="1"/>
  <c r="TFC28" i="9" s="1"/>
  <c r="TFE28" i="9" s="1"/>
  <c r="TFG28" i="9" s="1"/>
  <c r="TFI28" i="9" s="1"/>
  <c r="TFK28" i="9" s="1"/>
  <c r="TFM28" i="9" s="1"/>
  <c r="TFO28" i="9" s="1"/>
  <c r="TFQ28" i="9" s="1"/>
  <c r="TFS28" i="9" s="1"/>
  <c r="TFU28" i="9" s="1"/>
  <c r="TFW28" i="9" s="1"/>
  <c r="TFY28" i="9" s="1"/>
  <c r="TGA28" i="9" s="1"/>
  <c r="TGC28" i="9" s="1"/>
  <c r="TGE28" i="9" s="1"/>
  <c r="TGG28" i="9" s="1"/>
  <c r="TGI28" i="9" s="1"/>
  <c r="TGK28" i="9" s="1"/>
  <c r="TGM28" i="9" s="1"/>
  <c r="TGO28" i="9" s="1"/>
  <c r="TGQ28" i="9" s="1"/>
  <c r="TGS28" i="9" s="1"/>
  <c r="TGU28" i="9" s="1"/>
  <c r="TGW28" i="9" s="1"/>
  <c r="TGY28" i="9" s="1"/>
  <c r="THA28" i="9" s="1"/>
  <c r="THC28" i="9" s="1"/>
  <c r="THE28" i="9" s="1"/>
  <c r="THG28" i="9" s="1"/>
  <c r="THI28" i="9" s="1"/>
  <c r="THK28" i="9" s="1"/>
  <c r="THM28" i="9" s="1"/>
  <c r="THO28" i="9" s="1"/>
  <c r="THQ28" i="9" s="1"/>
  <c r="THS28" i="9" s="1"/>
  <c r="THU28" i="9" s="1"/>
  <c r="THW28" i="9" s="1"/>
  <c r="THY28" i="9" s="1"/>
  <c r="TIA28" i="9" s="1"/>
  <c r="TIC28" i="9" s="1"/>
  <c r="TIE28" i="9" s="1"/>
  <c r="TIG28" i="9" s="1"/>
  <c r="TII28" i="9" s="1"/>
  <c r="TIK28" i="9" s="1"/>
  <c r="TIM28" i="9" s="1"/>
  <c r="TIO28" i="9" s="1"/>
  <c r="TIQ28" i="9" s="1"/>
  <c r="TIS28" i="9" s="1"/>
  <c r="TIU28" i="9" s="1"/>
  <c r="TIW28" i="9" s="1"/>
  <c r="TIY28" i="9" s="1"/>
  <c r="TJA28" i="9" s="1"/>
  <c r="TJC28" i="9" s="1"/>
  <c r="TJE28" i="9" s="1"/>
  <c r="TJG28" i="9" s="1"/>
  <c r="TJI28" i="9" s="1"/>
  <c r="TJK28" i="9" s="1"/>
  <c r="TJM28" i="9" s="1"/>
  <c r="TJO28" i="9" s="1"/>
  <c r="TJQ28" i="9" s="1"/>
  <c r="TJS28" i="9" s="1"/>
  <c r="TJU28" i="9" s="1"/>
  <c r="TJW28" i="9" s="1"/>
  <c r="TJY28" i="9" s="1"/>
  <c r="TKA28" i="9" s="1"/>
  <c r="TKC28" i="9" s="1"/>
  <c r="TKE28" i="9" s="1"/>
  <c r="TKG28" i="9" s="1"/>
  <c r="TKI28" i="9" s="1"/>
  <c r="TKK28" i="9" s="1"/>
  <c r="TKM28" i="9" s="1"/>
  <c r="TKO28" i="9" s="1"/>
  <c r="TKQ28" i="9" s="1"/>
  <c r="TKS28" i="9" s="1"/>
  <c r="TKU28" i="9" s="1"/>
  <c r="TKW28" i="9" s="1"/>
  <c r="TKY28" i="9" s="1"/>
  <c r="TLA28" i="9" s="1"/>
  <c r="TLC28" i="9" s="1"/>
  <c r="TLE28" i="9" s="1"/>
  <c r="TLG28" i="9" s="1"/>
  <c r="TLI28" i="9" s="1"/>
  <c r="TLK28" i="9" s="1"/>
  <c r="TLM28" i="9" s="1"/>
  <c r="TLO28" i="9" s="1"/>
  <c r="TLQ28" i="9" s="1"/>
  <c r="TLS28" i="9" s="1"/>
  <c r="TLU28" i="9" s="1"/>
  <c r="TLW28" i="9" s="1"/>
  <c r="TLY28" i="9" s="1"/>
  <c r="TMA28" i="9" s="1"/>
  <c r="TMC28" i="9" s="1"/>
  <c r="TME28" i="9" s="1"/>
  <c r="TMG28" i="9" s="1"/>
  <c r="TMI28" i="9" s="1"/>
  <c r="TMK28" i="9" s="1"/>
  <c r="TMM28" i="9" s="1"/>
  <c r="TMO28" i="9" s="1"/>
  <c r="TMQ28" i="9" s="1"/>
  <c r="TMS28" i="9" s="1"/>
  <c r="TMU28" i="9" s="1"/>
  <c r="TMW28" i="9" s="1"/>
  <c r="TMY28" i="9" s="1"/>
  <c r="TNA28" i="9" s="1"/>
  <c r="TNC28" i="9" s="1"/>
  <c r="TNE28" i="9" s="1"/>
  <c r="TNG28" i="9" s="1"/>
  <c r="TNI28" i="9" s="1"/>
  <c r="TNK28" i="9" s="1"/>
  <c r="TNM28" i="9" s="1"/>
  <c r="TNO28" i="9" s="1"/>
  <c r="TNQ28" i="9" s="1"/>
  <c r="TNS28" i="9" s="1"/>
  <c r="TNU28" i="9" s="1"/>
  <c r="TNW28" i="9" s="1"/>
  <c r="TNY28" i="9" s="1"/>
  <c r="TOA28" i="9" s="1"/>
  <c r="TOC28" i="9" s="1"/>
  <c r="TOE28" i="9" s="1"/>
  <c r="TOG28" i="9" s="1"/>
  <c r="TOI28" i="9" s="1"/>
  <c r="TOK28" i="9" s="1"/>
  <c r="TOM28" i="9" s="1"/>
  <c r="TOO28" i="9" s="1"/>
  <c r="TOQ28" i="9" s="1"/>
  <c r="TOS28" i="9" s="1"/>
  <c r="TOU28" i="9" s="1"/>
  <c r="TOW28" i="9" s="1"/>
  <c r="TOY28" i="9" s="1"/>
  <c r="TPA28" i="9" s="1"/>
  <c r="TPC28" i="9" s="1"/>
  <c r="TPE28" i="9" s="1"/>
  <c r="TPG28" i="9" s="1"/>
  <c r="TPI28" i="9" s="1"/>
  <c r="TPK28" i="9" s="1"/>
  <c r="TPM28" i="9" s="1"/>
  <c r="TPO28" i="9" s="1"/>
  <c r="TPQ28" i="9" s="1"/>
  <c r="TPS28" i="9" s="1"/>
  <c r="TPU28" i="9" s="1"/>
  <c r="TPW28" i="9" s="1"/>
  <c r="TPY28" i="9" s="1"/>
  <c r="TQA28" i="9" s="1"/>
  <c r="TQC28" i="9" s="1"/>
  <c r="TQE28" i="9" s="1"/>
  <c r="TQG28" i="9" s="1"/>
  <c r="TQI28" i="9" s="1"/>
  <c r="TQK28" i="9" s="1"/>
  <c r="TQM28" i="9" s="1"/>
  <c r="TQO28" i="9" s="1"/>
  <c r="TQQ28" i="9" s="1"/>
  <c r="TQS28" i="9" s="1"/>
  <c r="TQU28" i="9" s="1"/>
  <c r="TQW28" i="9" s="1"/>
  <c r="TQY28" i="9" s="1"/>
  <c r="TRA28" i="9" s="1"/>
  <c r="TRC28" i="9" s="1"/>
  <c r="TRE28" i="9" s="1"/>
  <c r="TRG28" i="9" s="1"/>
  <c r="TRI28" i="9" s="1"/>
  <c r="TRK28" i="9" s="1"/>
  <c r="TRM28" i="9" s="1"/>
  <c r="TRO28" i="9" s="1"/>
  <c r="TRQ28" i="9" s="1"/>
  <c r="TRS28" i="9" s="1"/>
  <c r="TRU28" i="9" s="1"/>
  <c r="TRW28" i="9" s="1"/>
  <c r="TRY28" i="9" s="1"/>
  <c r="TSA28" i="9" s="1"/>
  <c r="TSC28" i="9" s="1"/>
  <c r="TSE28" i="9" s="1"/>
  <c r="TSG28" i="9" s="1"/>
  <c r="TSI28" i="9" s="1"/>
  <c r="TSK28" i="9" s="1"/>
  <c r="TSM28" i="9" s="1"/>
  <c r="TSO28" i="9" s="1"/>
  <c r="TSQ28" i="9" s="1"/>
  <c r="TSS28" i="9" s="1"/>
  <c r="TSU28" i="9" s="1"/>
  <c r="TSW28" i="9" s="1"/>
  <c r="TSY28" i="9" s="1"/>
  <c r="TTA28" i="9" s="1"/>
  <c r="TTC28" i="9" s="1"/>
  <c r="TTE28" i="9" s="1"/>
  <c r="TTG28" i="9" s="1"/>
  <c r="TTI28" i="9" s="1"/>
  <c r="TTK28" i="9" s="1"/>
  <c r="TTM28" i="9" s="1"/>
  <c r="TTO28" i="9" s="1"/>
  <c r="TTQ28" i="9" s="1"/>
  <c r="TTS28" i="9" s="1"/>
  <c r="TTU28" i="9" s="1"/>
  <c r="TTW28" i="9" s="1"/>
  <c r="TTY28" i="9" s="1"/>
  <c r="TUA28" i="9" s="1"/>
  <c r="TUC28" i="9" s="1"/>
  <c r="TUE28" i="9" s="1"/>
  <c r="TUG28" i="9" s="1"/>
  <c r="TUI28" i="9" s="1"/>
  <c r="TUK28" i="9" s="1"/>
  <c r="TUM28" i="9" s="1"/>
  <c r="TUO28" i="9" s="1"/>
  <c r="TUQ28" i="9" s="1"/>
  <c r="TUS28" i="9" s="1"/>
  <c r="TUU28" i="9" s="1"/>
  <c r="TUW28" i="9" s="1"/>
  <c r="TUY28" i="9" s="1"/>
  <c r="TVA28" i="9" s="1"/>
  <c r="TVC28" i="9" s="1"/>
  <c r="TVE28" i="9" s="1"/>
  <c r="TVG28" i="9" s="1"/>
  <c r="TVI28" i="9" s="1"/>
  <c r="TVK28" i="9" s="1"/>
  <c r="TVM28" i="9" s="1"/>
  <c r="TVO28" i="9" s="1"/>
  <c r="TVQ28" i="9" s="1"/>
  <c r="TVS28" i="9" s="1"/>
  <c r="TVU28" i="9" s="1"/>
  <c r="TVW28" i="9" s="1"/>
  <c r="TVY28" i="9" s="1"/>
  <c r="TWA28" i="9" s="1"/>
  <c r="TWC28" i="9" s="1"/>
  <c r="TWE28" i="9" s="1"/>
  <c r="TWG28" i="9" s="1"/>
  <c r="TWI28" i="9" s="1"/>
  <c r="TWK28" i="9" s="1"/>
  <c r="TWM28" i="9" s="1"/>
  <c r="TWO28" i="9" s="1"/>
  <c r="TWQ28" i="9" s="1"/>
  <c r="TWS28" i="9" s="1"/>
  <c r="TWU28" i="9" s="1"/>
  <c r="TWW28" i="9" s="1"/>
  <c r="TWY28" i="9" s="1"/>
  <c r="TXA28" i="9" s="1"/>
  <c r="TXC28" i="9" s="1"/>
  <c r="TXE28" i="9" s="1"/>
  <c r="TXG28" i="9" s="1"/>
  <c r="TXI28" i="9" s="1"/>
  <c r="TXK28" i="9" s="1"/>
  <c r="TXM28" i="9" s="1"/>
  <c r="TXO28" i="9" s="1"/>
  <c r="TXQ28" i="9" s="1"/>
  <c r="TXS28" i="9" s="1"/>
  <c r="TXU28" i="9" s="1"/>
  <c r="TXW28" i="9" s="1"/>
  <c r="TXY28" i="9" s="1"/>
  <c r="TYA28" i="9" s="1"/>
  <c r="TYC28" i="9" s="1"/>
  <c r="TYE28" i="9" s="1"/>
  <c r="TYG28" i="9" s="1"/>
  <c r="TYI28" i="9" s="1"/>
  <c r="TYK28" i="9" s="1"/>
  <c r="TYM28" i="9" s="1"/>
  <c r="TYO28" i="9" s="1"/>
  <c r="TYQ28" i="9" s="1"/>
  <c r="TYS28" i="9" s="1"/>
  <c r="TYU28" i="9" s="1"/>
  <c r="TYW28" i="9" s="1"/>
  <c r="TYY28" i="9" s="1"/>
  <c r="TZA28" i="9" s="1"/>
  <c r="TZC28" i="9" s="1"/>
  <c r="TZE28" i="9" s="1"/>
  <c r="TZG28" i="9" s="1"/>
  <c r="TZI28" i="9" s="1"/>
  <c r="TZK28" i="9" s="1"/>
  <c r="TZM28" i="9" s="1"/>
  <c r="TZO28" i="9" s="1"/>
  <c r="TZQ28" i="9" s="1"/>
  <c r="TZS28" i="9" s="1"/>
  <c r="TZU28" i="9" s="1"/>
  <c r="TZW28" i="9" s="1"/>
  <c r="TZY28" i="9" s="1"/>
  <c r="UAA28" i="9" s="1"/>
  <c r="UAC28" i="9" s="1"/>
  <c r="UAE28" i="9" s="1"/>
  <c r="UAG28" i="9" s="1"/>
  <c r="UAI28" i="9" s="1"/>
  <c r="UAK28" i="9" s="1"/>
  <c r="UAM28" i="9" s="1"/>
  <c r="UAO28" i="9" s="1"/>
  <c r="UAQ28" i="9" s="1"/>
  <c r="UAS28" i="9" s="1"/>
  <c r="UAU28" i="9" s="1"/>
  <c r="UAW28" i="9" s="1"/>
  <c r="UAY28" i="9" s="1"/>
  <c r="UBA28" i="9" s="1"/>
  <c r="UBC28" i="9" s="1"/>
  <c r="UBE28" i="9" s="1"/>
  <c r="UBG28" i="9" s="1"/>
  <c r="UBI28" i="9" s="1"/>
  <c r="UBK28" i="9" s="1"/>
  <c r="UBM28" i="9" s="1"/>
  <c r="UBO28" i="9" s="1"/>
  <c r="UBQ28" i="9" s="1"/>
  <c r="UBS28" i="9" s="1"/>
  <c r="UBU28" i="9" s="1"/>
  <c r="UBW28" i="9" s="1"/>
  <c r="UBY28" i="9" s="1"/>
  <c r="UCA28" i="9" s="1"/>
  <c r="UCC28" i="9" s="1"/>
  <c r="UCE28" i="9" s="1"/>
  <c r="UCG28" i="9" s="1"/>
  <c r="UCI28" i="9" s="1"/>
  <c r="UCK28" i="9" s="1"/>
  <c r="UCM28" i="9" s="1"/>
  <c r="UCO28" i="9" s="1"/>
  <c r="UCQ28" i="9" s="1"/>
  <c r="UCS28" i="9" s="1"/>
  <c r="UCU28" i="9" s="1"/>
  <c r="UCW28" i="9" s="1"/>
  <c r="UCY28" i="9" s="1"/>
  <c r="UDA28" i="9" s="1"/>
  <c r="UDC28" i="9" s="1"/>
  <c r="UDE28" i="9" s="1"/>
  <c r="UDG28" i="9" s="1"/>
  <c r="UDI28" i="9" s="1"/>
  <c r="UDK28" i="9" s="1"/>
  <c r="UDM28" i="9" s="1"/>
  <c r="UDO28" i="9" s="1"/>
  <c r="UDQ28" i="9" s="1"/>
  <c r="UDS28" i="9" s="1"/>
  <c r="UDU28" i="9" s="1"/>
  <c r="UDW28" i="9" s="1"/>
  <c r="UDY28" i="9" s="1"/>
  <c r="UEA28" i="9" s="1"/>
  <c r="UEC28" i="9" s="1"/>
  <c r="UEE28" i="9" s="1"/>
  <c r="UEG28" i="9" s="1"/>
  <c r="UEI28" i="9" s="1"/>
  <c r="UEK28" i="9" s="1"/>
  <c r="UEM28" i="9" s="1"/>
  <c r="UEO28" i="9" s="1"/>
  <c r="UEQ28" i="9" s="1"/>
  <c r="UES28" i="9" s="1"/>
  <c r="UEU28" i="9" s="1"/>
  <c r="UEW28" i="9" s="1"/>
  <c r="UEY28" i="9" s="1"/>
  <c r="UFA28" i="9" s="1"/>
  <c r="UFC28" i="9" s="1"/>
  <c r="UFE28" i="9" s="1"/>
  <c r="UFG28" i="9" s="1"/>
  <c r="UFI28" i="9" s="1"/>
  <c r="UFK28" i="9" s="1"/>
  <c r="UFM28" i="9" s="1"/>
  <c r="UFO28" i="9" s="1"/>
  <c r="UFQ28" i="9" s="1"/>
  <c r="UFS28" i="9" s="1"/>
  <c r="UFU28" i="9" s="1"/>
  <c r="UFW28" i="9" s="1"/>
  <c r="UFY28" i="9" s="1"/>
  <c r="UGA28" i="9" s="1"/>
  <c r="UGC28" i="9" s="1"/>
  <c r="UGE28" i="9" s="1"/>
  <c r="UGG28" i="9" s="1"/>
  <c r="UGI28" i="9" s="1"/>
  <c r="UGK28" i="9" s="1"/>
  <c r="UGM28" i="9" s="1"/>
  <c r="UGO28" i="9" s="1"/>
  <c r="UGQ28" i="9" s="1"/>
  <c r="UGS28" i="9" s="1"/>
  <c r="UGU28" i="9" s="1"/>
  <c r="UGW28" i="9" s="1"/>
  <c r="UGY28" i="9" s="1"/>
  <c r="UHA28" i="9" s="1"/>
  <c r="UHC28" i="9" s="1"/>
  <c r="UHE28" i="9" s="1"/>
  <c r="UHG28" i="9" s="1"/>
  <c r="UHI28" i="9" s="1"/>
  <c r="UHK28" i="9" s="1"/>
  <c r="UHM28" i="9" s="1"/>
  <c r="UHO28" i="9" s="1"/>
  <c r="UHQ28" i="9" s="1"/>
  <c r="UHS28" i="9" s="1"/>
  <c r="UHU28" i="9" s="1"/>
  <c r="UHW28" i="9" s="1"/>
  <c r="UHY28" i="9" s="1"/>
  <c r="UIA28" i="9" s="1"/>
  <c r="UIC28" i="9" s="1"/>
  <c r="UIE28" i="9" s="1"/>
  <c r="UIG28" i="9" s="1"/>
  <c r="UII28" i="9" s="1"/>
  <c r="UIK28" i="9" s="1"/>
  <c r="UIM28" i="9" s="1"/>
  <c r="UIO28" i="9" s="1"/>
  <c r="UIQ28" i="9" s="1"/>
  <c r="UIS28" i="9" s="1"/>
  <c r="UIU28" i="9" s="1"/>
  <c r="UIW28" i="9" s="1"/>
  <c r="UIY28" i="9" s="1"/>
  <c r="UJA28" i="9" s="1"/>
  <c r="UJC28" i="9" s="1"/>
  <c r="UJE28" i="9" s="1"/>
  <c r="UJG28" i="9" s="1"/>
  <c r="UJI28" i="9" s="1"/>
  <c r="UJK28" i="9" s="1"/>
  <c r="UJM28" i="9" s="1"/>
  <c r="UJO28" i="9" s="1"/>
  <c r="UJQ28" i="9" s="1"/>
  <c r="UJS28" i="9" s="1"/>
  <c r="UJU28" i="9" s="1"/>
  <c r="UJW28" i="9" s="1"/>
  <c r="UJY28" i="9" s="1"/>
  <c r="UKA28" i="9" s="1"/>
  <c r="UKC28" i="9" s="1"/>
  <c r="UKE28" i="9" s="1"/>
  <c r="UKG28" i="9" s="1"/>
  <c r="UKI28" i="9" s="1"/>
  <c r="UKK28" i="9" s="1"/>
  <c r="UKM28" i="9" s="1"/>
  <c r="UKO28" i="9" s="1"/>
  <c r="UKQ28" i="9" s="1"/>
  <c r="UKS28" i="9" s="1"/>
  <c r="UKU28" i="9" s="1"/>
  <c r="UKW28" i="9" s="1"/>
  <c r="UKY28" i="9" s="1"/>
  <c r="ULA28" i="9" s="1"/>
  <c r="ULC28" i="9" s="1"/>
  <c r="ULE28" i="9" s="1"/>
  <c r="ULG28" i="9" s="1"/>
  <c r="ULI28" i="9" s="1"/>
  <c r="ULK28" i="9" s="1"/>
  <c r="ULM28" i="9" s="1"/>
  <c r="ULO28" i="9" s="1"/>
  <c r="ULQ28" i="9" s="1"/>
  <c r="ULS28" i="9" s="1"/>
  <c r="ULU28" i="9" s="1"/>
  <c r="ULW28" i="9" s="1"/>
  <c r="ULY28" i="9" s="1"/>
  <c r="UMA28" i="9" s="1"/>
  <c r="UMC28" i="9" s="1"/>
  <c r="UME28" i="9" s="1"/>
  <c r="UMG28" i="9" s="1"/>
  <c r="UMI28" i="9" s="1"/>
  <c r="UMK28" i="9" s="1"/>
  <c r="UMM28" i="9" s="1"/>
  <c r="UMO28" i="9" s="1"/>
  <c r="UMQ28" i="9" s="1"/>
  <c r="UMS28" i="9" s="1"/>
  <c r="UMU28" i="9" s="1"/>
  <c r="UMW28" i="9" s="1"/>
  <c r="UMY28" i="9" s="1"/>
  <c r="UNA28" i="9" s="1"/>
  <c r="UNC28" i="9" s="1"/>
  <c r="UNE28" i="9" s="1"/>
  <c r="UNG28" i="9" s="1"/>
  <c r="UNI28" i="9" s="1"/>
  <c r="UNK28" i="9" s="1"/>
  <c r="UNM28" i="9" s="1"/>
  <c r="UNO28" i="9" s="1"/>
  <c r="UNQ28" i="9" s="1"/>
  <c r="UNS28" i="9" s="1"/>
  <c r="UNU28" i="9" s="1"/>
  <c r="UNW28" i="9" s="1"/>
  <c r="UNY28" i="9" s="1"/>
  <c r="UOA28" i="9" s="1"/>
  <c r="UOC28" i="9" s="1"/>
  <c r="UOE28" i="9" s="1"/>
  <c r="UOG28" i="9" s="1"/>
  <c r="UOI28" i="9" s="1"/>
  <c r="UOK28" i="9" s="1"/>
  <c r="UOM28" i="9" s="1"/>
  <c r="UOO28" i="9" s="1"/>
  <c r="UOQ28" i="9" s="1"/>
  <c r="UOS28" i="9" s="1"/>
  <c r="UOU28" i="9" s="1"/>
  <c r="UOW28" i="9" s="1"/>
  <c r="UOY28" i="9" s="1"/>
  <c r="UPA28" i="9" s="1"/>
  <c r="UPC28" i="9" s="1"/>
  <c r="UPE28" i="9" s="1"/>
  <c r="UPG28" i="9" s="1"/>
  <c r="UPI28" i="9" s="1"/>
  <c r="UPK28" i="9" s="1"/>
  <c r="UPM28" i="9" s="1"/>
  <c r="UPO28" i="9" s="1"/>
  <c r="UPQ28" i="9" s="1"/>
  <c r="UPS28" i="9" s="1"/>
  <c r="UPU28" i="9" s="1"/>
  <c r="UPW28" i="9" s="1"/>
  <c r="UPY28" i="9" s="1"/>
  <c r="UQA28" i="9" s="1"/>
  <c r="UQC28" i="9" s="1"/>
  <c r="UQE28" i="9" s="1"/>
  <c r="UQG28" i="9" s="1"/>
  <c r="UQI28" i="9" s="1"/>
  <c r="UQK28" i="9" s="1"/>
  <c r="UQM28" i="9" s="1"/>
  <c r="UQO28" i="9" s="1"/>
  <c r="UQQ28" i="9" s="1"/>
  <c r="UQS28" i="9" s="1"/>
  <c r="UQU28" i="9" s="1"/>
  <c r="UQW28" i="9" s="1"/>
  <c r="UQY28" i="9" s="1"/>
  <c r="URA28" i="9" s="1"/>
  <c r="URC28" i="9" s="1"/>
  <c r="URE28" i="9" s="1"/>
  <c r="URG28" i="9" s="1"/>
  <c r="URI28" i="9" s="1"/>
  <c r="URK28" i="9" s="1"/>
  <c r="URM28" i="9" s="1"/>
  <c r="URO28" i="9" s="1"/>
  <c r="URQ28" i="9" s="1"/>
  <c r="URS28" i="9" s="1"/>
  <c r="URU28" i="9" s="1"/>
  <c r="URW28" i="9" s="1"/>
  <c r="URY28" i="9" s="1"/>
  <c r="USA28" i="9" s="1"/>
  <c r="USC28" i="9" s="1"/>
  <c r="USE28" i="9" s="1"/>
  <c r="USG28" i="9" s="1"/>
  <c r="USI28" i="9" s="1"/>
  <c r="USK28" i="9" s="1"/>
  <c r="USM28" i="9" s="1"/>
  <c r="USO28" i="9" s="1"/>
  <c r="USQ28" i="9" s="1"/>
  <c r="USS28" i="9" s="1"/>
  <c r="USU28" i="9" s="1"/>
  <c r="USW28" i="9" s="1"/>
  <c r="USY28" i="9" s="1"/>
  <c r="UTA28" i="9" s="1"/>
  <c r="UTC28" i="9" s="1"/>
  <c r="UTE28" i="9" s="1"/>
  <c r="UTG28" i="9" s="1"/>
  <c r="UTI28" i="9" s="1"/>
  <c r="UTK28" i="9" s="1"/>
  <c r="UTM28" i="9" s="1"/>
  <c r="UTO28" i="9" s="1"/>
  <c r="UTQ28" i="9" s="1"/>
  <c r="UTS28" i="9" s="1"/>
  <c r="UTU28" i="9" s="1"/>
  <c r="UTW28" i="9" s="1"/>
  <c r="UTY28" i="9" s="1"/>
  <c r="UUA28" i="9" s="1"/>
  <c r="UUC28" i="9" s="1"/>
  <c r="UUE28" i="9" s="1"/>
  <c r="UUG28" i="9" s="1"/>
  <c r="UUI28" i="9" s="1"/>
  <c r="UUK28" i="9" s="1"/>
  <c r="UUM28" i="9" s="1"/>
  <c r="UUO28" i="9" s="1"/>
  <c r="UUQ28" i="9" s="1"/>
  <c r="UUS28" i="9" s="1"/>
  <c r="UUU28" i="9" s="1"/>
  <c r="UUW28" i="9" s="1"/>
  <c r="UUY28" i="9" s="1"/>
  <c r="UVA28" i="9" s="1"/>
  <c r="UVC28" i="9" s="1"/>
  <c r="UVE28" i="9" s="1"/>
  <c r="UVG28" i="9" s="1"/>
  <c r="UVI28" i="9" s="1"/>
  <c r="UVK28" i="9" s="1"/>
  <c r="UVM28" i="9" s="1"/>
  <c r="UVO28" i="9" s="1"/>
  <c r="UVQ28" i="9" s="1"/>
  <c r="UVS28" i="9" s="1"/>
  <c r="UVU28" i="9" s="1"/>
  <c r="UVW28" i="9" s="1"/>
  <c r="UVY28" i="9" s="1"/>
  <c r="UWA28" i="9" s="1"/>
  <c r="UWC28" i="9" s="1"/>
  <c r="UWE28" i="9" s="1"/>
  <c r="UWG28" i="9" s="1"/>
  <c r="UWI28" i="9" s="1"/>
  <c r="UWK28" i="9" s="1"/>
  <c r="UWM28" i="9" s="1"/>
  <c r="UWO28" i="9" s="1"/>
  <c r="UWQ28" i="9" s="1"/>
  <c r="UWS28" i="9" s="1"/>
  <c r="UWU28" i="9" s="1"/>
  <c r="UWW28" i="9" s="1"/>
  <c r="UWY28" i="9" s="1"/>
  <c r="UXA28" i="9" s="1"/>
  <c r="UXC28" i="9" s="1"/>
  <c r="UXE28" i="9" s="1"/>
  <c r="UXG28" i="9" s="1"/>
  <c r="UXI28" i="9" s="1"/>
  <c r="UXK28" i="9" s="1"/>
  <c r="UXM28" i="9" s="1"/>
  <c r="UXO28" i="9" s="1"/>
  <c r="UXQ28" i="9" s="1"/>
  <c r="UXS28" i="9" s="1"/>
  <c r="UXU28" i="9" s="1"/>
  <c r="UXW28" i="9" s="1"/>
  <c r="UXY28" i="9" s="1"/>
  <c r="UYA28" i="9" s="1"/>
  <c r="UYC28" i="9" s="1"/>
  <c r="UYE28" i="9" s="1"/>
  <c r="UYG28" i="9" s="1"/>
  <c r="UYI28" i="9" s="1"/>
  <c r="UYK28" i="9" s="1"/>
  <c r="UYM28" i="9" s="1"/>
  <c r="UYO28" i="9" s="1"/>
  <c r="UYQ28" i="9" s="1"/>
  <c r="UYS28" i="9" s="1"/>
  <c r="UYU28" i="9" s="1"/>
  <c r="UYW28" i="9" s="1"/>
  <c r="UYY28" i="9" s="1"/>
  <c r="UZA28" i="9" s="1"/>
  <c r="UZC28" i="9" s="1"/>
  <c r="UZE28" i="9" s="1"/>
  <c r="UZG28" i="9" s="1"/>
  <c r="UZI28" i="9" s="1"/>
  <c r="UZK28" i="9" s="1"/>
  <c r="UZM28" i="9" s="1"/>
  <c r="UZO28" i="9" s="1"/>
  <c r="UZQ28" i="9" s="1"/>
  <c r="UZS28" i="9" s="1"/>
  <c r="UZU28" i="9" s="1"/>
  <c r="UZW28" i="9" s="1"/>
  <c r="UZY28" i="9" s="1"/>
  <c r="VAA28" i="9" s="1"/>
  <c r="VAC28" i="9" s="1"/>
  <c r="VAE28" i="9" s="1"/>
  <c r="VAG28" i="9" s="1"/>
  <c r="VAI28" i="9" s="1"/>
  <c r="VAK28" i="9" s="1"/>
  <c r="VAM28" i="9" s="1"/>
  <c r="VAO28" i="9" s="1"/>
  <c r="VAQ28" i="9" s="1"/>
  <c r="VAS28" i="9" s="1"/>
  <c r="VAU28" i="9" s="1"/>
  <c r="VAW28" i="9" s="1"/>
  <c r="VAY28" i="9" s="1"/>
  <c r="VBA28" i="9" s="1"/>
  <c r="VBC28" i="9" s="1"/>
  <c r="VBE28" i="9" s="1"/>
  <c r="VBG28" i="9" s="1"/>
  <c r="VBI28" i="9" s="1"/>
  <c r="VBK28" i="9" s="1"/>
  <c r="VBM28" i="9" s="1"/>
  <c r="VBO28" i="9" s="1"/>
  <c r="VBQ28" i="9" s="1"/>
  <c r="VBS28" i="9" s="1"/>
  <c r="VBU28" i="9" s="1"/>
  <c r="VBW28" i="9" s="1"/>
  <c r="VBY28" i="9" s="1"/>
  <c r="VCA28" i="9" s="1"/>
  <c r="VCC28" i="9" s="1"/>
  <c r="VCE28" i="9" s="1"/>
  <c r="VCG28" i="9" s="1"/>
  <c r="VCI28" i="9" s="1"/>
  <c r="VCK28" i="9" s="1"/>
  <c r="VCM28" i="9" s="1"/>
  <c r="VCO28" i="9" s="1"/>
  <c r="VCQ28" i="9" s="1"/>
  <c r="VCS28" i="9" s="1"/>
  <c r="VCU28" i="9" s="1"/>
  <c r="VCW28" i="9" s="1"/>
  <c r="VCY28" i="9" s="1"/>
  <c r="VDA28" i="9" s="1"/>
  <c r="VDC28" i="9" s="1"/>
  <c r="VDE28" i="9" s="1"/>
  <c r="VDG28" i="9" s="1"/>
  <c r="VDI28" i="9" s="1"/>
  <c r="VDK28" i="9" s="1"/>
  <c r="VDM28" i="9" s="1"/>
  <c r="VDO28" i="9" s="1"/>
  <c r="VDQ28" i="9" s="1"/>
  <c r="VDS28" i="9" s="1"/>
  <c r="VDU28" i="9" s="1"/>
  <c r="VDW28" i="9" s="1"/>
  <c r="VDY28" i="9" s="1"/>
  <c r="VEA28" i="9" s="1"/>
  <c r="VEC28" i="9" s="1"/>
  <c r="VEE28" i="9" s="1"/>
  <c r="VEG28" i="9" s="1"/>
  <c r="VEI28" i="9" s="1"/>
  <c r="VEK28" i="9" s="1"/>
  <c r="VEM28" i="9" s="1"/>
  <c r="VEO28" i="9" s="1"/>
  <c r="VEQ28" i="9" s="1"/>
  <c r="VES28" i="9" s="1"/>
  <c r="VEU28" i="9" s="1"/>
  <c r="VEW28" i="9" s="1"/>
  <c r="VEY28" i="9" s="1"/>
  <c r="VFA28" i="9" s="1"/>
  <c r="VFC28" i="9" s="1"/>
  <c r="VFE28" i="9" s="1"/>
  <c r="VFG28" i="9" s="1"/>
  <c r="VFI28" i="9" s="1"/>
  <c r="VFK28" i="9" s="1"/>
  <c r="VFM28" i="9" s="1"/>
  <c r="VFO28" i="9" s="1"/>
  <c r="VFQ28" i="9" s="1"/>
  <c r="VFS28" i="9" s="1"/>
  <c r="VFU28" i="9" s="1"/>
  <c r="VFW28" i="9" s="1"/>
  <c r="VFY28" i="9" s="1"/>
  <c r="VGA28" i="9" s="1"/>
  <c r="VGC28" i="9" s="1"/>
  <c r="VGE28" i="9" s="1"/>
  <c r="VGG28" i="9" s="1"/>
  <c r="VGI28" i="9" s="1"/>
  <c r="VGK28" i="9" s="1"/>
  <c r="VGM28" i="9" s="1"/>
  <c r="VGO28" i="9" s="1"/>
  <c r="VGQ28" i="9" s="1"/>
  <c r="VGS28" i="9" s="1"/>
  <c r="VGU28" i="9" s="1"/>
  <c r="VGW28" i="9" s="1"/>
  <c r="VGY28" i="9" s="1"/>
  <c r="VHA28" i="9" s="1"/>
  <c r="VHC28" i="9" s="1"/>
  <c r="VHE28" i="9" s="1"/>
  <c r="VHG28" i="9" s="1"/>
  <c r="VHI28" i="9" s="1"/>
  <c r="VHK28" i="9" s="1"/>
  <c r="VHM28" i="9" s="1"/>
  <c r="VHO28" i="9" s="1"/>
  <c r="VHQ28" i="9" s="1"/>
  <c r="VHS28" i="9" s="1"/>
  <c r="VHU28" i="9" s="1"/>
  <c r="VHW28" i="9" s="1"/>
  <c r="VHY28" i="9" s="1"/>
  <c r="VIA28" i="9" s="1"/>
  <c r="VIC28" i="9" s="1"/>
  <c r="VIE28" i="9" s="1"/>
  <c r="VIG28" i="9" s="1"/>
  <c r="VII28" i="9" s="1"/>
  <c r="VIK28" i="9" s="1"/>
  <c r="VIM28" i="9" s="1"/>
  <c r="VIO28" i="9" s="1"/>
  <c r="VIQ28" i="9" s="1"/>
  <c r="VIS28" i="9" s="1"/>
  <c r="VIU28" i="9" s="1"/>
  <c r="VIW28" i="9" s="1"/>
  <c r="VIY28" i="9" s="1"/>
  <c r="VJA28" i="9" s="1"/>
  <c r="VJC28" i="9" s="1"/>
  <c r="VJE28" i="9" s="1"/>
  <c r="VJG28" i="9" s="1"/>
  <c r="VJI28" i="9" s="1"/>
  <c r="VJK28" i="9" s="1"/>
  <c r="VJM28" i="9" s="1"/>
  <c r="VJO28" i="9" s="1"/>
  <c r="VJQ28" i="9" s="1"/>
  <c r="VJS28" i="9" s="1"/>
  <c r="VJU28" i="9" s="1"/>
  <c r="VJW28" i="9" s="1"/>
  <c r="VJY28" i="9" s="1"/>
  <c r="VKA28" i="9" s="1"/>
  <c r="VKC28" i="9" s="1"/>
  <c r="VKE28" i="9" s="1"/>
  <c r="VKG28" i="9" s="1"/>
  <c r="VKI28" i="9" s="1"/>
  <c r="VKK28" i="9" s="1"/>
  <c r="VKM28" i="9" s="1"/>
  <c r="VKO28" i="9" s="1"/>
  <c r="VKQ28" i="9" s="1"/>
  <c r="VKS28" i="9" s="1"/>
  <c r="VKU28" i="9" s="1"/>
  <c r="VKW28" i="9" s="1"/>
  <c r="VKY28" i="9" s="1"/>
  <c r="VLA28" i="9" s="1"/>
  <c r="VLC28" i="9" s="1"/>
  <c r="VLE28" i="9" s="1"/>
  <c r="VLG28" i="9" s="1"/>
  <c r="VLI28" i="9" s="1"/>
  <c r="VLK28" i="9" s="1"/>
  <c r="VLM28" i="9" s="1"/>
  <c r="VLO28" i="9" s="1"/>
  <c r="VLQ28" i="9" s="1"/>
  <c r="VLS28" i="9" s="1"/>
  <c r="VLU28" i="9" s="1"/>
  <c r="VLW28" i="9" s="1"/>
  <c r="VLY28" i="9" s="1"/>
  <c r="VMA28" i="9" s="1"/>
  <c r="VMC28" i="9" s="1"/>
  <c r="VME28" i="9" s="1"/>
  <c r="VMG28" i="9" s="1"/>
  <c r="VMI28" i="9" s="1"/>
  <c r="VMK28" i="9" s="1"/>
  <c r="VMM28" i="9" s="1"/>
  <c r="VMO28" i="9" s="1"/>
  <c r="VMQ28" i="9" s="1"/>
  <c r="VMS28" i="9" s="1"/>
  <c r="VMU28" i="9" s="1"/>
  <c r="VMW28" i="9" s="1"/>
  <c r="VMY28" i="9" s="1"/>
  <c r="VNA28" i="9" s="1"/>
  <c r="VNC28" i="9" s="1"/>
  <c r="VNE28" i="9" s="1"/>
  <c r="VNG28" i="9" s="1"/>
  <c r="VNI28" i="9" s="1"/>
  <c r="VNK28" i="9" s="1"/>
  <c r="VNM28" i="9" s="1"/>
  <c r="VNO28" i="9" s="1"/>
  <c r="VNQ28" i="9" s="1"/>
  <c r="VNS28" i="9" s="1"/>
  <c r="VNU28" i="9" s="1"/>
  <c r="VNW28" i="9" s="1"/>
  <c r="VNY28" i="9" s="1"/>
  <c r="VOA28" i="9" s="1"/>
  <c r="VOC28" i="9" s="1"/>
  <c r="VOE28" i="9" s="1"/>
  <c r="VOG28" i="9" s="1"/>
  <c r="VOI28" i="9" s="1"/>
  <c r="VOK28" i="9" s="1"/>
  <c r="VOM28" i="9" s="1"/>
  <c r="VOO28" i="9" s="1"/>
  <c r="VOQ28" i="9" s="1"/>
  <c r="VOS28" i="9" s="1"/>
  <c r="VOU28" i="9" s="1"/>
  <c r="VOW28" i="9" s="1"/>
  <c r="VOY28" i="9" s="1"/>
  <c r="VPA28" i="9" s="1"/>
  <c r="VPC28" i="9" s="1"/>
  <c r="VPE28" i="9" s="1"/>
  <c r="VPG28" i="9" s="1"/>
  <c r="VPI28" i="9" s="1"/>
  <c r="VPK28" i="9" s="1"/>
  <c r="VPM28" i="9" s="1"/>
  <c r="VPO28" i="9" s="1"/>
  <c r="VPQ28" i="9" s="1"/>
  <c r="VPS28" i="9" s="1"/>
  <c r="VPU28" i="9" s="1"/>
  <c r="VPW28" i="9" s="1"/>
  <c r="VPY28" i="9" s="1"/>
  <c r="VQA28" i="9" s="1"/>
  <c r="VQC28" i="9" s="1"/>
  <c r="VQE28" i="9" s="1"/>
  <c r="VQG28" i="9" s="1"/>
  <c r="VQI28" i="9" s="1"/>
  <c r="VQK28" i="9" s="1"/>
  <c r="VQM28" i="9" s="1"/>
  <c r="VQO28" i="9" s="1"/>
  <c r="VQQ28" i="9" s="1"/>
  <c r="VQS28" i="9" s="1"/>
  <c r="VQU28" i="9" s="1"/>
  <c r="VQW28" i="9" s="1"/>
  <c r="VQY28" i="9" s="1"/>
  <c r="VRA28" i="9" s="1"/>
  <c r="VRC28" i="9" s="1"/>
  <c r="VRE28" i="9" s="1"/>
  <c r="VRG28" i="9" s="1"/>
  <c r="VRI28" i="9" s="1"/>
  <c r="VRK28" i="9" s="1"/>
  <c r="VRM28" i="9" s="1"/>
  <c r="VRO28" i="9" s="1"/>
  <c r="VRQ28" i="9" s="1"/>
  <c r="VRS28" i="9" s="1"/>
  <c r="VRU28" i="9" s="1"/>
  <c r="VRW28" i="9" s="1"/>
  <c r="VRY28" i="9" s="1"/>
  <c r="VSA28" i="9" s="1"/>
  <c r="VSC28" i="9" s="1"/>
  <c r="VSE28" i="9" s="1"/>
  <c r="VSG28" i="9" s="1"/>
  <c r="VSI28" i="9" s="1"/>
  <c r="VSK28" i="9" s="1"/>
  <c r="VSM28" i="9" s="1"/>
  <c r="VSO28" i="9" s="1"/>
  <c r="VSQ28" i="9" s="1"/>
  <c r="VSS28" i="9" s="1"/>
  <c r="VSU28" i="9" s="1"/>
  <c r="VSW28" i="9" s="1"/>
  <c r="VSY28" i="9" s="1"/>
  <c r="VTA28" i="9" s="1"/>
  <c r="VTC28" i="9" s="1"/>
  <c r="VTE28" i="9" s="1"/>
  <c r="VTG28" i="9" s="1"/>
  <c r="VTI28" i="9" s="1"/>
  <c r="VTK28" i="9" s="1"/>
  <c r="VTM28" i="9" s="1"/>
  <c r="VTO28" i="9" s="1"/>
  <c r="VTQ28" i="9" s="1"/>
  <c r="VTS28" i="9" s="1"/>
  <c r="VTU28" i="9" s="1"/>
  <c r="VTW28" i="9" s="1"/>
  <c r="VTY28" i="9" s="1"/>
  <c r="VUA28" i="9" s="1"/>
  <c r="VUC28" i="9" s="1"/>
  <c r="VUE28" i="9" s="1"/>
  <c r="VUG28" i="9" s="1"/>
  <c r="VUI28" i="9" s="1"/>
  <c r="VUK28" i="9" s="1"/>
  <c r="VUM28" i="9" s="1"/>
  <c r="VUO28" i="9" s="1"/>
  <c r="VUQ28" i="9" s="1"/>
  <c r="VUS28" i="9" s="1"/>
  <c r="VUU28" i="9" s="1"/>
  <c r="VUW28" i="9" s="1"/>
  <c r="VUY28" i="9" s="1"/>
  <c r="VVA28" i="9" s="1"/>
  <c r="VVC28" i="9" s="1"/>
  <c r="VVE28" i="9" s="1"/>
  <c r="VVG28" i="9" s="1"/>
  <c r="VVI28" i="9" s="1"/>
  <c r="VVK28" i="9" s="1"/>
  <c r="VVM28" i="9" s="1"/>
  <c r="VVO28" i="9" s="1"/>
  <c r="VVQ28" i="9" s="1"/>
  <c r="VVS28" i="9" s="1"/>
  <c r="VVU28" i="9" s="1"/>
  <c r="VVW28" i="9" s="1"/>
  <c r="VVY28" i="9" s="1"/>
  <c r="VWA28" i="9" s="1"/>
  <c r="VWC28" i="9" s="1"/>
  <c r="VWE28" i="9" s="1"/>
  <c r="VWG28" i="9" s="1"/>
  <c r="VWI28" i="9" s="1"/>
  <c r="VWK28" i="9" s="1"/>
  <c r="VWM28" i="9" s="1"/>
  <c r="VWO28" i="9" s="1"/>
  <c r="VWQ28" i="9" s="1"/>
  <c r="VWS28" i="9" s="1"/>
  <c r="VWU28" i="9" s="1"/>
  <c r="VWW28" i="9" s="1"/>
  <c r="VWY28" i="9" s="1"/>
  <c r="VXA28" i="9" s="1"/>
  <c r="VXC28" i="9" s="1"/>
  <c r="VXE28" i="9" s="1"/>
  <c r="VXG28" i="9" s="1"/>
  <c r="VXI28" i="9" s="1"/>
  <c r="VXK28" i="9" s="1"/>
  <c r="VXM28" i="9" s="1"/>
  <c r="VXO28" i="9" s="1"/>
  <c r="VXQ28" i="9" s="1"/>
  <c r="VXS28" i="9" s="1"/>
  <c r="VXU28" i="9" s="1"/>
  <c r="VXW28" i="9" s="1"/>
  <c r="VXY28" i="9" s="1"/>
  <c r="VYA28" i="9" s="1"/>
  <c r="VYC28" i="9" s="1"/>
  <c r="VYE28" i="9" s="1"/>
  <c r="VYG28" i="9" s="1"/>
  <c r="VYI28" i="9" s="1"/>
  <c r="VYK28" i="9" s="1"/>
  <c r="VYM28" i="9" s="1"/>
  <c r="VYO28" i="9" s="1"/>
  <c r="VYQ28" i="9" s="1"/>
  <c r="VYS28" i="9" s="1"/>
  <c r="VYU28" i="9" s="1"/>
  <c r="VYW28" i="9" s="1"/>
  <c r="VYY28" i="9" s="1"/>
  <c r="VZA28" i="9" s="1"/>
  <c r="VZC28" i="9" s="1"/>
  <c r="VZE28" i="9" s="1"/>
  <c r="VZG28" i="9" s="1"/>
  <c r="VZI28" i="9" s="1"/>
  <c r="VZK28" i="9" s="1"/>
  <c r="VZM28" i="9" s="1"/>
  <c r="VZO28" i="9" s="1"/>
  <c r="VZQ28" i="9" s="1"/>
  <c r="VZS28" i="9" s="1"/>
  <c r="VZU28" i="9" s="1"/>
  <c r="VZW28" i="9" s="1"/>
  <c r="VZY28" i="9" s="1"/>
  <c r="WAA28" i="9" s="1"/>
  <c r="WAC28" i="9" s="1"/>
  <c r="WAE28" i="9" s="1"/>
  <c r="WAG28" i="9" s="1"/>
  <c r="WAI28" i="9" s="1"/>
  <c r="WAK28" i="9" s="1"/>
  <c r="WAM28" i="9" s="1"/>
  <c r="WAO28" i="9" s="1"/>
  <c r="WAQ28" i="9" s="1"/>
  <c r="WAS28" i="9" s="1"/>
  <c r="WAU28" i="9" s="1"/>
  <c r="WAW28" i="9" s="1"/>
  <c r="WAY28" i="9" s="1"/>
  <c r="WBA28" i="9" s="1"/>
  <c r="WBC28" i="9" s="1"/>
  <c r="WBE28" i="9" s="1"/>
  <c r="WBG28" i="9" s="1"/>
  <c r="WBI28" i="9" s="1"/>
  <c r="WBK28" i="9" s="1"/>
  <c r="WBM28" i="9" s="1"/>
  <c r="WBO28" i="9" s="1"/>
  <c r="WBQ28" i="9" s="1"/>
  <c r="WBS28" i="9" s="1"/>
  <c r="WBU28" i="9" s="1"/>
  <c r="WBW28" i="9" s="1"/>
  <c r="WBY28" i="9" s="1"/>
  <c r="WCA28" i="9" s="1"/>
  <c r="WCC28" i="9" s="1"/>
  <c r="WCE28" i="9" s="1"/>
  <c r="WCG28" i="9" s="1"/>
  <c r="WCI28" i="9" s="1"/>
  <c r="WCK28" i="9" s="1"/>
  <c r="WCM28" i="9" s="1"/>
  <c r="WCO28" i="9" s="1"/>
  <c r="WCQ28" i="9" s="1"/>
  <c r="WCS28" i="9" s="1"/>
  <c r="WCU28" i="9" s="1"/>
  <c r="WCW28" i="9" s="1"/>
  <c r="WCY28" i="9" s="1"/>
  <c r="WDA28" i="9" s="1"/>
  <c r="WDC28" i="9" s="1"/>
  <c r="WDE28" i="9" s="1"/>
  <c r="WDG28" i="9" s="1"/>
  <c r="WDI28" i="9" s="1"/>
  <c r="WDK28" i="9" s="1"/>
  <c r="WDM28" i="9" s="1"/>
  <c r="WDO28" i="9" s="1"/>
  <c r="WDQ28" i="9" s="1"/>
  <c r="WDS28" i="9" s="1"/>
  <c r="WDU28" i="9" s="1"/>
  <c r="WDW28" i="9" s="1"/>
  <c r="WDY28" i="9" s="1"/>
  <c r="WEA28" i="9" s="1"/>
  <c r="WEC28" i="9" s="1"/>
  <c r="WEE28" i="9" s="1"/>
  <c r="WEG28" i="9" s="1"/>
  <c r="WEI28" i="9" s="1"/>
  <c r="WEK28" i="9" s="1"/>
  <c r="WEM28" i="9" s="1"/>
  <c r="WEO28" i="9" s="1"/>
  <c r="WEQ28" i="9" s="1"/>
  <c r="WES28" i="9" s="1"/>
  <c r="WEU28" i="9" s="1"/>
  <c r="WEW28" i="9" s="1"/>
  <c r="WEY28" i="9" s="1"/>
  <c r="WFA28" i="9" s="1"/>
  <c r="WFC28" i="9" s="1"/>
  <c r="WFE28" i="9" s="1"/>
  <c r="WFG28" i="9" s="1"/>
  <c r="WFI28" i="9" s="1"/>
  <c r="WFK28" i="9" s="1"/>
  <c r="WFM28" i="9" s="1"/>
  <c r="WFO28" i="9" s="1"/>
  <c r="WFQ28" i="9" s="1"/>
  <c r="WFS28" i="9" s="1"/>
  <c r="WFU28" i="9" s="1"/>
  <c r="WFW28" i="9" s="1"/>
  <c r="WFY28" i="9" s="1"/>
  <c r="WGA28" i="9" s="1"/>
  <c r="WGC28" i="9" s="1"/>
  <c r="WGE28" i="9" s="1"/>
  <c r="WGG28" i="9" s="1"/>
  <c r="WGI28" i="9" s="1"/>
  <c r="WGK28" i="9" s="1"/>
  <c r="WGM28" i="9" s="1"/>
  <c r="WGO28" i="9" s="1"/>
  <c r="WGQ28" i="9" s="1"/>
  <c r="WGS28" i="9" s="1"/>
  <c r="WGU28" i="9" s="1"/>
  <c r="WGW28" i="9" s="1"/>
  <c r="WGY28" i="9" s="1"/>
  <c r="WHA28" i="9" s="1"/>
  <c r="WHC28" i="9" s="1"/>
  <c r="WHE28" i="9" s="1"/>
  <c r="WHG28" i="9" s="1"/>
  <c r="WHI28" i="9" s="1"/>
  <c r="WHK28" i="9" s="1"/>
  <c r="WHM28" i="9" s="1"/>
  <c r="WHO28" i="9" s="1"/>
  <c r="WHQ28" i="9" s="1"/>
  <c r="WHS28" i="9" s="1"/>
  <c r="WHU28" i="9" s="1"/>
  <c r="WHW28" i="9" s="1"/>
  <c r="WHY28" i="9" s="1"/>
  <c r="WIA28" i="9" s="1"/>
  <c r="WIC28" i="9" s="1"/>
  <c r="WIE28" i="9" s="1"/>
  <c r="WIG28" i="9" s="1"/>
  <c r="WII28" i="9" s="1"/>
  <c r="WIK28" i="9" s="1"/>
  <c r="WIM28" i="9" s="1"/>
  <c r="WIO28" i="9" s="1"/>
  <c r="WIQ28" i="9" s="1"/>
  <c r="WIS28" i="9" s="1"/>
  <c r="WIU28" i="9" s="1"/>
  <c r="WIW28" i="9" s="1"/>
  <c r="WIY28" i="9" s="1"/>
  <c r="WJA28" i="9" s="1"/>
  <c r="WJC28" i="9" s="1"/>
  <c r="WJE28" i="9" s="1"/>
  <c r="WJG28" i="9" s="1"/>
  <c r="WJI28" i="9" s="1"/>
  <c r="WJK28" i="9" s="1"/>
  <c r="WJM28" i="9" s="1"/>
  <c r="WJO28" i="9" s="1"/>
  <c r="WJQ28" i="9" s="1"/>
  <c r="WJS28" i="9" s="1"/>
  <c r="WJU28" i="9" s="1"/>
  <c r="WJW28" i="9" s="1"/>
  <c r="WJY28" i="9" s="1"/>
  <c r="WKA28" i="9" s="1"/>
  <c r="WKC28" i="9" s="1"/>
  <c r="WKE28" i="9" s="1"/>
  <c r="WKG28" i="9" s="1"/>
  <c r="WKI28" i="9" s="1"/>
  <c r="WKK28" i="9" s="1"/>
  <c r="WKM28" i="9" s="1"/>
  <c r="WKO28" i="9" s="1"/>
  <c r="WKQ28" i="9" s="1"/>
  <c r="WKS28" i="9" s="1"/>
  <c r="WKU28" i="9" s="1"/>
  <c r="WKW28" i="9" s="1"/>
  <c r="WKY28" i="9" s="1"/>
  <c r="WLA28" i="9" s="1"/>
  <c r="WLC28" i="9" s="1"/>
  <c r="WLE28" i="9" s="1"/>
  <c r="WLG28" i="9" s="1"/>
  <c r="WLI28" i="9" s="1"/>
  <c r="WLK28" i="9" s="1"/>
  <c r="WLM28" i="9" s="1"/>
  <c r="WLO28" i="9" s="1"/>
  <c r="WLQ28" i="9" s="1"/>
  <c r="WLS28" i="9" s="1"/>
  <c r="WLU28" i="9" s="1"/>
  <c r="WLW28" i="9" s="1"/>
  <c r="WLY28" i="9" s="1"/>
  <c r="WMA28" i="9" s="1"/>
  <c r="WMC28" i="9" s="1"/>
  <c r="WME28" i="9" s="1"/>
  <c r="WMG28" i="9" s="1"/>
  <c r="WMI28" i="9" s="1"/>
  <c r="WMK28" i="9" s="1"/>
  <c r="WMM28" i="9" s="1"/>
  <c r="WMO28" i="9" s="1"/>
  <c r="WMQ28" i="9" s="1"/>
  <c r="WMS28" i="9" s="1"/>
  <c r="WMU28" i="9" s="1"/>
  <c r="WMW28" i="9" s="1"/>
  <c r="WMY28" i="9" s="1"/>
  <c r="WNA28" i="9" s="1"/>
  <c r="WNC28" i="9" s="1"/>
  <c r="WNE28" i="9" s="1"/>
  <c r="WNG28" i="9" s="1"/>
  <c r="WNI28" i="9" s="1"/>
  <c r="WNK28" i="9" s="1"/>
  <c r="WNM28" i="9" s="1"/>
  <c r="WNO28" i="9" s="1"/>
  <c r="WNQ28" i="9" s="1"/>
  <c r="WNS28" i="9" s="1"/>
  <c r="WNU28" i="9" s="1"/>
  <c r="WNW28" i="9" s="1"/>
  <c r="WNY28" i="9" s="1"/>
  <c r="WOA28" i="9" s="1"/>
  <c r="WOC28" i="9" s="1"/>
  <c r="WOE28" i="9" s="1"/>
  <c r="WOG28" i="9" s="1"/>
  <c r="WOI28" i="9" s="1"/>
  <c r="WOK28" i="9" s="1"/>
  <c r="WOM28" i="9" s="1"/>
  <c r="WOO28" i="9" s="1"/>
  <c r="WOQ28" i="9" s="1"/>
  <c r="WOS28" i="9" s="1"/>
  <c r="WOU28" i="9" s="1"/>
  <c r="WOW28" i="9" s="1"/>
  <c r="WOY28" i="9" s="1"/>
  <c r="WPA28" i="9" s="1"/>
  <c r="WPC28" i="9" s="1"/>
  <c r="WPE28" i="9" s="1"/>
  <c r="WPG28" i="9" s="1"/>
  <c r="WPI28" i="9" s="1"/>
  <c r="WPK28" i="9" s="1"/>
  <c r="WPM28" i="9" s="1"/>
  <c r="WPO28" i="9" s="1"/>
  <c r="WPQ28" i="9" s="1"/>
  <c r="WPS28" i="9" s="1"/>
  <c r="WPU28" i="9" s="1"/>
  <c r="WPW28" i="9" s="1"/>
  <c r="WPY28" i="9" s="1"/>
  <c r="WQA28" i="9" s="1"/>
  <c r="WQC28" i="9" s="1"/>
  <c r="WQE28" i="9" s="1"/>
  <c r="WQG28" i="9" s="1"/>
  <c r="WQI28" i="9" s="1"/>
  <c r="WQK28" i="9" s="1"/>
  <c r="WQM28" i="9" s="1"/>
  <c r="WQO28" i="9" s="1"/>
  <c r="WQQ28" i="9" s="1"/>
  <c r="WQS28" i="9" s="1"/>
  <c r="WQU28" i="9" s="1"/>
  <c r="WQW28" i="9" s="1"/>
  <c r="WQY28" i="9" s="1"/>
  <c r="WRA28" i="9" s="1"/>
  <c r="WRC28" i="9" s="1"/>
  <c r="WRE28" i="9" s="1"/>
  <c r="WRG28" i="9" s="1"/>
  <c r="WRI28" i="9" s="1"/>
  <c r="WRK28" i="9" s="1"/>
  <c r="WRM28" i="9" s="1"/>
  <c r="WRO28" i="9" s="1"/>
  <c r="WRQ28" i="9" s="1"/>
  <c r="WRS28" i="9" s="1"/>
  <c r="WRU28" i="9" s="1"/>
  <c r="WRW28" i="9" s="1"/>
  <c r="WRY28" i="9" s="1"/>
  <c r="WSA28" i="9" s="1"/>
  <c r="WSC28" i="9" s="1"/>
  <c r="WSE28" i="9" s="1"/>
  <c r="WSG28" i="9" s="1"/>
  <c r="WSI28" i="9" s="1"/>
  <c r="WSK28" i="9" s="1"/>
  <c r="WSM28" i="9" s="1"/>
  <c r="WSO28" i="9" s="1"/>
  <c r="WSQ28" i="9" s="1"/>
  <c r="WSS28" i="9" s="1"/>
  <c r="WSU28" i="9" s="1"/>
  <c r="WSW28" i="9" s="1"/>
  <c r="WSY28" i="9" s="1"/>
  <c r="WTA28" i="9" s="1"/>
  <c r="WTC28" i="9" s="1"/>
  <c r="WTE28" i="9" s="1"/>
  <c r="WTG28" i="9" s="1"/>
  <c r="WTI28" i="9" s="1"/>
  <c r="WTK28" i="9" s="1"/>
  <c r="WTM28" i="9" s="1"/>
  <c r="WTO28" i="9" s="1"/>
  <c r="WTQ28" i="9" s="1"/>
  <c r="WTS28" i="9" s="1"/>
  <c r="WTU28" i="9" s="1"/>
  <c r="WTW28" i="9" s="1"/>
  <c r="WTY28" i="9" s="1"/>
  <c r="WUA28" i="9" s="1"/>
  <c r="WUC28" i="9" s="1"/>
  <c r="WUE28" i="9" s="1"/>
  <c r="WUG28" i="9" s="1"/>
  <c r="WUI28" i="9" s="1"/>
  <c r="WUK28" i="9" s="1"/>
  <c r="WUM28" i="9" s="1"/>
  <c r="WUO28" i="9" s="1"/>
  <c r="WUQ28" i="9" s="1"/>
  <c r="WUS28" i="9" s="1"/>
  <c r="WUU28" i="9" s="1"/>
  <c r="WUW28" i="9" s="1"/>
  <c r="WUY28" i="9" s="1"/>
  <c r="WVA28" i="9" s="1"/>
  <c r="WVC28" i="9" s="1"/>
  <c r="WVE28" i="9" s="1"/>
  <c r="WVG28" i="9" s="1"/>
  <c r="WVI28" i="9" s="1"/>
  <c r="WVK28" i="9" s="1"/>
  <c r="WVM28" i="9" s="1"/>
  <c r="WVO28" i="9" s="1"/>
  <c r="WVQ28" i="9" s="1"/>
  <c r="WVS28" i="9" s="1"/>
  <c r="WVU28" i="9" s="1"/>
  <c r="WVW28" i="9" s="1"/>
  <c r="WVY28" i="9" s="1"/>
  <c r="WWA28" i="9" s="1"/>
  <c r="WWC28" i="9" s="1"/>
  <c r="WWE28" i="9" s="1"/>
  <c r="WWG28" i="9" s="1"/>
  <c r="WWI28" i="9" s="1"/>
  <c r="WWK28" i="9" s="1"/>
  <c r="WWM28" i="9" s="1"/>
  <c r="WWO28" i="9" s="1"/>
  <c r="WWQ28" i="9" s="1"/>
  <c r="WWS28" i="9" s="1"/>
  <c r="WWU28" i="9" s="1"/>
  <c r="WWW28" i="9" s="1"/>
  <c r="WWY28" i="9" s="1"/>
  <c r="WXA28" i="9" s="1"/>
  <c r="WXC28" i="9" s="1"/>
  <c r="WXE28" i="9" s="1"/>
  <c r="WXG28" i="9" s="1"/>
  <c r="WXI28" i="9" s="1"/>
  <c r="WXK28" i="9" s="1"/>
  <c r="WXM28" i="9" s="1"/>
  <c r="WXO28" i="9" s="1"/>
  <c r="WXQ28" i="9" s="1"/>
  <c r="WXS28" i="9" s="1"/>
  <c r="WXU28" i="9" s="1"/>
  <c r="WXW28" i="9" s="1"/>
  <c r="WXY28" i="9" s="1"/>
  <c r="WYA28" i="9" s="1"/>
  <c r="WYC28" i="9" s="1"/>
  <c r="WYE28" i="9" s="1"/>
  <c r="WYG28" i="9" s="1"/>
  <c r="WYI28" i="9" s="1"/>
  <c r="WYK28" i="9" s="1"/>
  <c r="WYM28" i="9" s="1"/>
  <c r="WYO28" i="9" s="1"/>
  <c r="WYQ28" i="9" s="1"/>
  <c r="WYS28" i="9" s="1"/>
  <c r="WYU28" i="9" s="1"/>
  <c r="WYW28" i="9" s="1"/>
  <c r="WYY28" i="9" s="1"/>
  <c r="WZA28" i="9" s="1"/>
  <c r="WZC28" i="9" s="1"/>
  <c r="WZE28" i="9" s="1"/>
  <c r="WZG28" i="9" s="1"/>
  <c r="WZI28" i="9" s="1"/>
  <c r="WZK28" i="9" s="1"/>
  <c r="WZM28" i="9" s="1"/>
  <c r="WZO28" i="9" s="1"/>
  <c r="WZQ28" i="9" s="1"/>
  <c r="WZS28" i="9" s="1"/>
  <c r="WZU28" i="9" s="1"/>
  <c r="WZW28" i="9" s="1"/>
  <c r="WZY28" i="9" s="1"/>
  <c r="XAA28" i="9" s="1"/>
  <c r="XAC28" i="9" s="1"/>
  <c r="XAE28" i="9" s="1"/>
  <c r="XAG28" i="9" s="1"/>
  <c r="XAI28" i="9" s="1"/>
  <c r="XAK28" i="9" s="1"/>
  <c r="XAM28" i="9" s="1"/>
  <c r="XAO28" i="9" s="1"/>
  <c r="XAQ28" i="9" s="1"/>
  <c r="XAS28" i="9" s="1"/>
  <c r="XAU28" i="9" s="1"/>
  <c r="XAW28" i="9" s="1"/>
  <c r="XAY28" i="9" s="1"/>
  <c r="XBA28" i="9" s="1"/>
  <c r="XBC28" i="9" s="1"/>
  <c r="XBE28" i="9" s="1"/>
  <c r="XBG28" i="9" s="1"/>
  <c r="XBI28" i="9" s="1"/>
  <c r="XBK28" i="9" s="1"/>
  <c r="XBM28" i="9" s="1"/>
  <c r="XBO28" i="9" s="1"/>
  <c r="XBQ28" i="9" s="1"/>
  <c r="XBS28" i="9" s="1"/>
  <c r="XBU28" i="9" s="1"/>
  <c r="XBW28" i="9" s="1"/>
  <c r="XBY28" i="9" s="1"/>
  <c r="XCA28" i="9" s="1"/>
  <c r="XCC28" i="9" s="1"/>
  <c r="XCE28" i="9" s="1"/>
  <c r="XCG28" i="9" s="1"/>
  <c r="XCI28" i="9" s="1"/>
  <c r="XCK28" i="9" s="1"/>
  <c r="XCM28" i="9" s="1"/>
  <c r="XCO28" i="9" s="1"/>
  <c r="XCQ28" i="9" s="1"/>
  <c r="XCS28" i="9" s="1"/>
  <c r="XCU28" i="9" s="1"/>
  <c r="XCW28" i="9" s="1"/>
  <c r="XCY28" i="9" s="1"/>
  <c r="XDA28" i="9" s="1"/>
  <c r="XDC28" i="9" s="1"/>
  <c r="XDE28" i="9" s="1"/>
  <c r="XDG28" i="9" s="1"/>
  <c r="XDI28" i="9" s="1"/>
  <c r="XDK28" i="9" s="1"/>
  <c r="XDM28" i="9" s="1"/>
  <c r="XDO28" i="9" s="1"/>
  <c r="XDQ28" i="9" s="1"/>
  <c r="XDS28" i="9" s="1"/>
  <c r="XDU28" i="9" s="1"/>
  <c r="XDW28" i="9" s="1"/>
  <c r="XDY28" i="9" s="1"/>
  <c r="XEA28" i="9" s="1"/>
  <c r="XEC28" i="9" s="1"/>
  <c r="XEE28" i="9" s="1"/>
  <c r="XEG28" i="9" s="1"/>
  <c r="XEI28" i="9" s="1"/>
  <c r="XEK28" i="9" s="1"/>
  <c r="XEM28" i="9" s="1"/>
  <c r="XEO28" i="9" s="1"/>
  <c r="XEQ28" i="9" s="1"/>
  <c r="XES28" i="9" s="1"/>
  <c r="XEU28" i="9" s="1"/>
  <c r="XEW28" i="9" s="1"/>
  <c r="XEY28" i="9" s="1"/>
  <c r="XFA28" i="9" s="1"/>
  <c r="XFC28" i="9" s="1"/>
  <c r="G28" i="9"/>
  <c r="AC864" i="3"/>
  <c r="I8" i="9"/>
  <c r="K8" i="9" s="1"/>
  <c r="M8" i="9" s="1"/>
  <c r="O8" i="9" s="1"/>
  <c r="Q8" i="9" s="1"/>
  <c r="S8" i="9" s="1"/>
  <c r="U8" i="9" s="1"/>
  <c r="W8" i="9" s="1"/>
  <c r="Y8" i="9" s="1"/>
  <c r="AA8" i="9" s="1"/>
  <c r="AC8" i="9" s="1"/>
  <c r="AE8" i="9" s="1"/>
  <c r="AG8" i="9" s="1"/>
  <c r="G8" i="9"/>
  <c r="E5" i="10" l="1"/>
  <c r="E4" i="10"/>
  <c r="E7" i="10"/>
  <c r="E9" i="10"/>
  <c r="C5" i="9" l="1"/>
  <c r="C10" i="9" s="1"/>
  <c r="AF630" i="3"/>
  <c r="R630" i="3"/>
  <c r="B4" i="10"/>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C7" i="9" l="1"/>
  <c r="J107" i="4"/>
  <c r="K107" i="4"/>
  <c r="L107" i="4"/>
  <c r="M107" i="4"/>
  <c r="N107" i="4"/>
  <c r="O107" i="4"/>
  <c r="P107" i="4"/>
  <c r="Q107" i="4"/>
  <c r="I107" i="4"/>
  <c r="H107" i="4"/>
  <c r="G107" i="4"/>
  <c r="F107" i="4"/>
  <c r="E107" i="4"/>
  <c r="B100" i="15" l="1"/>
  <c r="E100" i="15" s="1"/>
  <c r="C100" i="15"/>
  <c r="D100" i="15"/>
  <c r="B101" i="15"/>
  <c r="C101" i="15"/>
  <c r="D101" i="15"/>
  <c r="B102" i="15"/>
  <c r="C102" i="15"/>
  <c r="E102" i="15" s="1"/>
  <c r="D102" i="15"/>
  <c r="B103" i="15"/>
  <c r="C103" i="15"/>
  <c r="D103" i="15"/>
  <c r="E103" i="15"/>
  <c r="D99" i="15"/>
  <c r="C99" i="15"/>
  <c r="B99"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E94" i="15" s="1"/>
  <c r="D94" i="15"/>
  <c r="B95" i="15"/>
  <c r="C95" i="15"/>
  <c r="E95" i="15" s="1"/>
  <c r="D95"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40" i="9"/>
  <c r="AJ971" i="3"/>
  <c r="E75" i="15" l="1"/>
  <c r="E34" i="15"/>
  <c r="E101" i="15"/>
  <c r="E26" i="15"/>
  <c r="E32" i="15"/>
  <c r="E38" i="15"/>
  <c r="E6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91" i="3"/>
  <c r="AJ987"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3" i="9"/>
  <c r="I53" i="9" s="1"/>
  <c r="K53" i="9" s="1"/>
  <c r="M53" i="9" s="1"/>
  <c r="O53" i="9" s="1"/>
  <c r="Q53" i="9" s="1"/>
  <c r="S53" i="9" s="1"/>
  <c r="U53" i="9" s="1"/>
  <c r="W53" i="9" s="1"/>
  <c r="Y53" i="9" s="1"/>
  <c r="AA53" i="9" s="1"/>
  <c r="AC53" i="9" s="1"/>
  <c r="AE53" i="9" s="1"/>
  <c r="AG53" i="9" s="1"/>
  <c r="E30" i="9"/>
  <c r="E31" i="9"/>
  <c r="G31" i="9" s="1"/>
  <c r="I31" i="9" s="1"/>
  <c r="K31" i="9" s="1"/>
  <c r="M31" i="9" s="1"/>
  <c r="O31" i="9" s="1"/>
  <c r="Q31" i="9" s="1"/>
  <c r="S31" i="9" s="1"/>
  <c r="U31" i="9" s="1"/>
  <c r="W31" i="9" s="1"/>
  <c r="Y31" i="9" s="1"/>
  <c r="AA31" i="9" s="1"/>
  <c r="AC31" i="9" s="1"/>
  <c r="AE31" i="9" s="1"/>
  <c r="AG31" i="9" s="1"/>
  <c r="E29" i="9"/>
  <c r="G29" i="9" s="1"/>
  <c r="I29" i="9" s="1"/>
  <c r="K29" i="9" s="1"/>
  <c r="M29" i="9" s="1"/>
  <c r="O29" i="9" s="1"/>
  <c r="Q29" i="9" s="1"/>
  <c r="S29" i="9" s="1"/>
  <c r="U29" i="9" s="1"/>
  <c r="W29" i="9" s="1"/>
  <c r="Y29" i="9" s="1"/>
  <c r="AA29" i="9" s="1"/>
  <c r="AC29" i="9" s="1"/>
  <c r="AE29" i="9" s="1"/>
  <c r="AG29" i="9" s="1"/>
  <c r="G24" i="9"/>
  <c r="I24" i="9" s="1"/>
  <c r="K24" i="9" s="1"/>
  <c r="M24" i="9" s="1"/>
  <c r="O24" i="9" s="1"/>
  <c r="Q24" i="9" s="1"/>
  <c r="S24" i="9" s="1"/>
  <c r="U24" i="9" s="1"/>
  <c r="W24" i="9" s="1"/>
  <c r="Y24" i="9" s="1"/>
  <c r="AA24" i="9" s="1"/>
  <c r="AC24" i="9" s="1"/>
  <c r="AE24" i="9" s="1"/>
  <c r="AG24"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C42" i="4"/>
  <c r="C53" i="4"/>
  <c r="C61" i="4"/>
  <c r="B61" i="4" s="1"/>
  <c r="C69" i="4"/>
  <c r="C76" i="4"/>
  <c r="C80" i="4"/>
  <c r="C95" i="4"/>
  <c r="C103" i="4"/>
  <c r="C65" i="25"/>
  <c r="C66" i="25"/>
  <c r="G67" i="25" s="1"/>
  <c r="Y20" i="5"/>
  <c r="Y22" i="5" s="1"/>
  <c r="AI20" i="5"/>
  <c r="AI22" i="5" s="1"/>
  <c r="S26" i="4"/>
  <c r="S38" i="4"/>
  <c r="E36" i="18" s="1"/>
  <c r="S42" i="4"/>
  <c r="S53" i="4"/>
  <c r="S69" i="4"/>
  <c r="E67" i="18" s="1"/>
  <c r="S80" i="4"/>
  <c r="E78" i="18" s="1"/>
  <c r="S95" i="4"/>
  <c r="E93" i="18" s="1"/>
  <c r="S103" i="4"/>
  <c r="E101" i="18" s="1"/>
  <c r="F25" i="18"/>
  <c r="F36" i="18"/>
  <c r="F40" i="18"/>
  <c r="F51" i="18"/>
  <c r="F67" i="18"/>
  <c r="F78" i="18"/>
  <c r="F93" i="18"/>
  <c r="F101" i="18"/>
  <c r="T20" i="5"/>
  <c r="T22" i="5"/>
  <c r="T26" i="4"/>
  <c r="T38" i="4"/>
  <c r="T42" i="4"/>
  <c r="T53" i="4"/>
  <c r="H51" i="18" s="1"/>
  <c r="T11" i="4"/>
  <c r="T69" i="4"/>
  <c r="H67" i="18" s="1"/>
  <c r="T80" i="4"/>
  <c r="H78" i="18" s="1"/>
  <c r="T95" i="4"/>
  <c r="H93" i="18" s="1"/>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20" i="27" s="1"/>
  <c r="Y22" i="27" s="1"/>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1" i="26"/>
  <c r="Y21" i="26"/>
  <c r="AD21" i="26"/>
  <c r="AI21" i="26"/>
  <c r="C19" i="26"/>
  <c r="T13" i="26"/>
  <c r="T20" i="26" s="1"/>
  <c r="T22" i="26" s="1"/>
  <c r="Y13" i="26"/>
  <c r="Y20" i="26" s="1"/>
  <c r="Y22" i="26" s="1"/>
  <c r="Y14" i="26"/>
  <c r="Y15" i="26"/>
  <c r="Y16" i="26"/>
  <c r="Y17" i="26"/>
  <c r="Y18" i="26"/>
  <c r="Y19" i="26"/>
  <c r="AD13" i="26"/>
  <c r="AI13" i="26"/>
  <c r="T14" i="26"/>
  <c r="AD14" i="26"/>
  <c r="AD20" i="26" s="1"/>
  <c r="AD22" i="26" s="1"/>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102" i="4"/>
  <c r="G25" i="18"/>
  <c r="G36" i="18"/>
  <c r="G40" i="18"/>
  <c r="G51" i="18"/>
  <c r="G67" i="18"/>
  <c r="G93" i="18"/>
  <c r="G101" i="18"/>
  <c r="E10" i="7"/>
  <c r="J7" i="7"/>
  <c r="H5" i="10"/>
  <c r="I5" i="10" s="1"/>
  <c r="H6" i="10"/>
  <c r="H7" i="10"/>
  <c r="I7" i="10" s="1"/>
  <c r="H8" i="10"/>
  <c r="I8" i="10" s="1"/>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0" i="18"/>
  <c r="A91" i="18"/>
  <c r="A92" i="18"/>
  <c r="A90" i="18"/>
  <c r="A73" i="18"/>
  <c r="A66" i="18"/>
  <c r="A58" i="18"/>
  <c r="A50" i="18"/>
  <c r="A35" i="18"/>
  <c r="A24" i="18"/>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5" i="4"/>
  <c r="R86" i="4"/>
  <c r="R87" i="4"/>
  <c r="R88" i="4"/>
  <c r="R89" i="4"/>
  <c r="R90" i="4"/>
  <c r="R91" i="4"/>
  <c r="R92" i="4"/>
  <c r="R93" i="4"/>
  <c r="R60" i="4"/>
  <c r="R59" i="4"/>
  <c r="R58" i="4"/>
  <c r="R57" i="4"/>
  <c r="R56" i="4"/>
  <c r="R52" i="4"/>
  <c r="R51" i="4"/>
  <c r="R50" i="4"/>
  <c r="R48" i="4"/>
  <c r="R47" i="4"/>
  <c r="R46" i="4"/>
  <c r="R45" i="4"/>
  <c r="R43" i="4"/>
  <c r="R41" i="4"/>
  <c r="R37" i="4"/>
  <c r="R35" i="4"/>
  <c r="R34" i="4"/>
  <c r="R33" i="4"/>
  <c r="R32" i="4"/>
  <c r="R30" i="4"/>
  <c r="R31" i="4"/>
  <c r="R29" i="4"/>
  <c r="R27" i="4"/>
  <c r="R25" i="4"/>
  <c r="R23" i="4"/>
  <c r="R22" i="4"/>
  <c r="R21" i="4"/>
  <c r="R20" i="4"/>
  <c r="R19" i="4"/>
  <c r="R18" i="4"/>
  <c r="R17" i="4"/>
  <c r="R15" i="4"/>
  <c r="R14" i="4"/>
  <c r="R13" i="4"/>
  <c r="R7" i="4"/>
  <c r="R6" i="4"/>
  <c r="R4" i="4"/>
  <c r="D5" i="15"/>
  <c r="D6" i="15"/>
  <c r="D7" i="15"/>
  <c r="D8" i="15"/>
  <c r="D10" i="15"/>
  <c r="D11" i="15"/>
  <c r="D14" i="15"/>
  <c r="D15" i="15"/>
  <c r="D16" i="15"/>
  <c r="D18" i="15"/>
  <c r="E40" i="18"/>
  <c r="E51" i="18"/>
  <c r="H25" i="18"/>
  <c r="H36" i="18"/>
  <c r="H101" i="18"/>
  <c r="B11" i="18"/>
  <c r="B36" i="18"/>
  <c r="B40" i="18"/>
  <c r="B101" i="18"/>
  <c r="Z793" i="3"/>
  <c r="E9" i="9" s="1"/>
  <c r="W823" i="3"/>
  <c r="E16" i="9"/>
  <c r="G16" i="9" s="1"/>
  <c r="I16" i="9" s="1"/>
  <c r="K16" i="9" s="1"/>
  <c r="M16" i="9" s="1"/>
  <c r="O16" i="9" s="1"/>
  <c r="Q16" i="9" s="1"/>
  <c r="S16" i="9" s="1"/>
  <c r="U16" i="9" s="1"/>
  <c r="W16" i="9" s="1"/>
  <c r="Y16" i="9" s="1"/>
  <c r="AA16" i="9" s="1"/>
  <c r="AC16" i="9" s="1"/>
  <c r="AE16" i="9" s="1"/>
  <c r="AG16" i="9" s="1"/>
  <c r="W831" i="3"/>
  <c r="E17" i="9" s="1"/>
  <c r="G17" i="9" s="1"/>
  <c r="I17" i="9" s="1"/>
  <c r="K17" i="9" s="1"/>
  <c r="M17" i="9" s="1"/>
  <c r="O17" i="9" s="1"/>
  <c r="Q17" i="9" s="1"/>
  <c r="S17" i="9" s="1"/>
  <c r="U17" i="9" s="1"/>
  <c r="W17" i="9" s="1"/>
  <c r="Y17" i="9" s="1"/>
  <c r="AA17" i="9" s="1"/>
  <c r="AC17" i="9" s="1"/>
  <c r="AE17" i="9" s="1"/>
  <c r="AG17" i="9" s="1"/>
  <c r="W838" i="3"/>
  <c r="E18" i="9" s="1"/>
  <c r="G18" i="9" s="1"/>
  <c r="I18" i="9" s="1"/>
  <c r="K18" i="9" s="1"/>
  <c r="M18" i="9" s="1"/>
  <c r="O18" i="9" s="1"/>
  <c r="Q18" i="9" s="1"/>
  <c r="S18" i="9" s="1"/>
  <c r="U18" i="9" s="1"/>
  <c r="W18" i="9" s="1"/>
  <c r="Y18" i="9" s="1"/>
  <c r="AA18" i="9" s="1"/>
  <c r="AC18" i="9" s="1"/>
  <c r="AE18" i="9" s="1"/>
  <c r="AG18" i="9" s="1"/>
  <c r="E19" i="9"/>
  <c r="W848" i="3"/>
  <c r="E20" i="9" s="1"/>
  <c r="G20" i="9" s="1"/>
  <c r="I20" i="9" s="1"/>
  <c r="K20" i="9" s="1"/>
  <c r="M20" i="9" s="1"/>
  <c r="O20" i="9" s="1"/>
  <c r="Q20" i="9" s="1"/>
  <c r="S20" i="9" s="1"/>
  <c r="U20" i="9" s="1"/>
  <c r="W20" i="9" s="1"/>
  <c r="Y20" i="9" s="1"/>
  <c r="AA20" i="9" s="1"/>
  <c r="AC20" i="9" s="1"/>
  <c r="AE20" i="9" s="1"/>
  <c r="AG20" i="9" s="1"/>
  <c r="W855" i="3"/>
  <c r="E21" i="9" s="1"/>
  <c r="G21" i="9" s="1"/>
  <c r="I21" i="9" s="1"/>
  <c r="K21" i="9" s="1"/>
  <c r="M21" i="9" s="1"/>
  <c r="O21" i="9" s="1"/>
  <c r="Q21" i="9" s="1"/>
  <c r="S21" i="9" s="1"/>
  <c r="U21" i="9" s="1"/>
  <c r="W21" i="9" s="1"/>
  <c r="Y21" i="9" s="1"/>
  <c r="AA21" i="9" s="1"/>
  <c r="AC21" i="9" s="1"/>
  <c r="AE21" i="9" s="1"/>
  <c r="AG21"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G30" i="9"/>
  <c r="I30" i="9" s="1"/>
  <c r="K30" i="9" s="1"/>
  <c r="M30" i="9" s="1"/>
  <c r="O30" i="9" s="1"/>
  <c r="Q30" i="9" s="1"/>
  <c r="S30" i="9" s="1"/>
  <c r="U30" i="9" s="1"/>
  <c r="W30" i="9" s="1"/>
  <c r="Y30" i="9" s="1"/>
  <c r="AA30" i="9" s="1"/>
  <c r="AC30" i="9" s="1"/>
  <c r="AE30" i="9" s="1"/>
  <c r="AG30"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40" i="9"/>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H40" i="18"/>
  <c r="B51" i="18"/>
  <c r="B11" i="4"/>
  <c r="E25" i="18"/>
  <c r="E15" i="9"/>
  <c r="G15" i="9" s="1"/>
  <c r="B80" i="4"/>
  <c r="D12" i="4"/>
  <c r="G98" i="25" l="1"/>
  <c r="D100" i="25" s="1"/>
  <c r="D102" i="25" s="1"/>
  <c r="D104" i="25" s="1"/>
  <c r="D110" i="25" s="1"/>
  <c r="G38" i="25" s="1"/>
  <c r="AI22" i="26"/>
  <c r="BI744" i="3"/>
  <c r="AM729" i="3" s="1"/>
  <c r="I6" i="10"/>
  <c r="I9" i="10"/>
  <c r="T22" i="27"/>
  <c r="AO628" i="6"/>
  <c r="AK645" i="6" s="1"/>
  <c r="T694" i="6" s="1"/>
  <c r="AF694" i="6" s="1"/>
  <c r="B96" i="15"/>
  <c r="C96" i="15"/>
  <c r="D96" i="15"/>
  <c r="C27" i="15"/>
  <c r="E27" i="15" s="1"/>
  <c r="D27" i="15"/>
  <c r="B27" i="15"/>
  <c r="B26" i="4"/>
  <c r="B59" i="18"/>
  <c r="G12" i="4"/>
  <c r="B93" i="18"/>
  <c r="U69" i="25"/>
  <c r="B81" i="15"/>
  <c r="C81" i="15"/>
  <c r="D81" i="15"/>
  <c r="B54" i="15"/>
  <c r="C54" i="15"/>
  <c r="D54" i="15"/>
  <c r="C62" i="15"/>
  <c r="D62" i="15"/>
  <c r="B62" i="15"/>
  <c r="E50" i="25"/>
  <c r="G52" i="25" s="1"/>
  <c r="AB47" i="5"/>
  <c r="F12" i="4"/>
  <c r="AC43" i="9"/>
  <c r="AB47" i="27"/>
  <c r="B25" i="18"/>
  <c r="P12" i="4"/>
  <c r="B76" i="4"/>
  <c r="C77" i="15"/>
  <c r="E77" i="15" s="1"/>
  <c r="D77" i="15"/>
  <c r="B77" i="15"/>
  <c r="C43" i="15"/>
  <c r="D43" i="15"/>
  <c r="B43" i="15"/>
  <c r="B95" i="4"/>
  <c r="B53" i="4"/>
  <c r="R80" i="4"/>
  <c r="T62" i="4"/>
  <c r="C104" i="15"/>
  <c r="D104" i="15"/>
  <c r="B104" i="15"/>
  <c r="B67" i="18"/>
  <c r="B70" i="15"/>
  <c r="C70" i="15"/>
  <c r="D70" i="15"/>
  <c r="D39" i="15"/>
  <c r="B39" i="15"/>
  <c r="C39" i="15"/>
  <c r="R948" i="3"/>
  <c r="R949" i="3"/>
  <c r="R947" i="3"/>
  <c r="R946" i="3"/>
  <c r="R945" i="3"/>
  <c r="AG438" i="3"/>
  <c r="AI27" i="27" s="1"/>
  <c r="AB47" i="26"/>
  <c r="I60" i="18"/>
  <c r="I94" i="18" s="1"/>
  <c r="I102" i="18" s="1"/>
  <c r="I104" i="18" s="1"/>
  <c r="J60" i="18"/>
  <c r="J94" i="18" s="1"/>
  <c r="J102" i="18" s="1"/>
  <c r="J104" i="18" s="1"/>
  <c r="R76" i="4"/>
  <c r="K12" i="4"/>
  <c r="B12" i="4"/>
  <c r="B42" i="4"/>
  <c r="R103" i="4"/>
  <c r="R8" i="4"/>
  <c r="D12" i="15"/>
  <c r="B103" i="4"/>
  <c r="R69" i="4"/>
  <c r="G62" i="4"/>
  <c r="G96" i="4" s="1"/>
  <c r="G104" i="4" s="1"/>
  <c r="E62" i="4"/>
  <c r="E96" i="4" s="1"/>
  <c r="E104" i="4" s="1"/>
  <c r="D9" i="15"/>
  <c r="C60" i="18"/>
  <c r="C94" i="18" s="1"/>
  <c r="C102" i="18" s="1"/>
  <c r="C12" i="18"/>
  <c r="E12" i="4"/>
  <c r="M62" i="4"/>
  <c r="M96" i="4" s="1"/>
  <c r="M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S40" i="9"/>
  <c r="S43" i="9" s="1"/>
  <c r="AA40" i="9"/>
  <c r="AA43" i="9" s="1"/>
  <c r="Q40" i="9"/>
  <c r="Q43" i="9" s="1"/>
  <c r="G40" i="9"/>
  <c r="G43" i="9" s="1"/>
  <c r="CS626" i="3"/>
  <c r="T612" i="6" s="1"/>
  <c r="AZ578" i="6" s="1"/>
  <c r="BS625" i="3"/>
  <c r="BW626" i="3" s="1"/>
  <c r="O40" i="9"/>
  <c r="O43" i="9" s="1"/>
  <c r="CC632" i="3"/>
  <c r="BS632" i="3"/>
  <c r="CM644" i="3"/>
  <c r="BS644" i="3"/>
  <c r="BW645" i="3" s="1"/>
  <c r="E43" i="9"/>
  <c r="C30" i="10"/>
  <c r="CM632" i="3"/>
  <c r="CX626" i="3"/>
  <c r="T611" i="6" s="1"/>
  <c r="DH626" i="3"/>
  <c r="T609" i="6" s="1"/>
  <c r="BQ529" i="6" s="1"/>
  <c r="BQ533" i="6" s="1"/>
  <c r="DM626" i="3"/>
  <c r="T608" i="6" s="1"/>
  <c r="BM528" i="6" s="1"/>
  <c r="BM533" i="6" s="1"/>
  <c r="W40" i="9"/>
  <c r="W43" i="9" s="1"/>
  <c r="AC859" i="3"/>
  <c r="AE40" i="9"/>
  <c r="AE43" i="9" s="1"/>
  <c r="K40" i="9"/>
  <c r="K43" i="9" s="1"/>
  <c r="AG40" i="9"/>
  <c r="AG43" i="9" s="1"/>
  <c r="BX632" i="3"/>
  <c r="BN632" i="3"/>
  <c r="U40" i="9"/>
  <c r="U43" i="9" s="1"/>
  <c r="Y40" i="9"/>
  <c r="Y43"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9" i="9"/>
  <c r="E10" i="9"/>
  <c r="BG626" i="3"/>
  <c r="AY928" i="3"/>
  <c r="B1009"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3" i="6"/>
  <c r="AF683" i="6" s="1"/>
  <c r="I40" i="9"/>
  <c r="I43" i="9" s="1"/>
  <c r="F30" i="10"/>
  <c r="I30" i="10"/>
  <c r="Z785" i="3" s="1"/>
  <c r="G19" i="9"/>
  <c r="I19" i="9" s="1"/>
  <c r="K19" i="9" s="1"/>
  <c r="M19" i="9" s="1"/>
  <c r="O19" i="9" s="1"/>
  <c r="Q19" i="9" s="1"/>
  <c r="S19" i="9" s="1"/>
  <c r="U19" i="9" s="1"/>
  <c r="W19" i="9" s="1"/>
  <c r="Y19" i="9" s="1"/>
  <c r="AA19" i="9" s="1"/>
  <c r="AC19" i="9" s="1"/>
  <c r="AE19" i="9" s="1"/>
  <c r="AG19" i="9" s="1"/>
  <c r="E22" i="9"/>
  <c r="E35" i="9" s="1"/>
  <c r="AD63" i="5"/>
  <c r="AD7" i="5"/>
  <c r="I15" i="9"/>
  <c r="T7" i="5"/>
  <c r="M40" i="9"/>
  <c r="M43" i="9" s="1"/>
  <c r="Y7" i="5"/>
  <c r="Y11" i="5" s="1"/>
  <c r="Y23" i="5" s="1"/>
  <c r="G53" i="25" l="1"/>
  <c r="E54" i="15"/>
  <c r="E70" i="15"/>
  <c r="E39" i="15"/>
  <c r="E43" i="15"/>
  <c r="E96" i="15"/>
  <c r="AI27" i="5"/>
  <c r="AI28" i="5" s="1"/>
  <c r="Y27" i="5"/>
  <c r="AD27" i="5"/>
  <c r="T27" i="5"/>
  <c r="AI27" i="26"/>
  <c r="AD27" i="27"/>
  <c r="T27" i="27"/>
  <c r="Y27" i="27"/>
  <c r="Y27" i="26"/>
  <c r="T27" i="26"/>
  <c r="AD27" i="26"/>
  <c r="B60" i="18"/>
  <c r="D63" i="15"/>
  <c r="B63" i="15"/>
  <c r="C63" i="15"/>
  <c r="E104" i="15"/>
  <c r="E62" i="15"/>
  <c r="E81"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6" i="4"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I9" i="9"/>
  <c r="G10" i="9"/>
  <c r="AC592" i="6"/>
  <c r="T692" i="6" s="1"/>
  <c r="Y26" i="5"/>
  <c r="Y28" i="5" s="1"/>
  <c r="G22" i="9"/>
  <c r="G35" i="9" s="1"/>
  <c r="I22" i="9"/>
  <c r="I35" i="9" s="1"/>
  <c r="K15" i="9"/>
  <c r="E6" i="9"/>
  <c r="E63" i="15" l="1"/>
  <c r="Y609" i="6"/>
  <c r="BS529" i="6" s="1"/>
  <c r="BS533" i="6" s="1"/>
  <c r="BQ534" i="6" s="1"/>
  <c r="B94" i="18"/>
  <c r="BI713" i="3"/>
  <c r="AH729" i="3" s="1"/>
  <c r="Y611" i="6"/>
  <c r="CH551" i="6" s="1"/>
  <c r="C104" i="4"/>
  <c r="B102" i="18" s="1"/>
  <c r="C97" i="15"/>
  <c r="D97" i="15"/>
  <c r="B97" i="15"/>
  <c r="AB949" i="3"/>
  <c r="AJ949" i="3" s="1"/>
  <c r="AJ951" i="3"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9" i="9"/>
  <c r="I10" i="9"/>
  <c r="T691" i="6"/>
  <c r="AO685" i="6"/>
  <c r="AF691" i="6" s="1"/>
  <c r="M15" i="9"/>
  <c r="K22" i="9"/>
  <c r="K35" i="9" s="1"/>
  <c r="E7" i="9"/>
  <c r="G6" i="9"/>
  <c r="CA531" i="6" l="1"/>
  <c r="CA533" i="6" s="1"/>
  <c r="BY534" i="6" s="1"/>
  <c r="BY536" i="6" s="1"/>
  <c r="AU539" i="6"/>
  <c r="BU535" i="6"/>
  <c r="CH549" i="6"/>
  <c r="BI548" i="6" s="1"/>
  <c r="BI552" i="6" s="1"/>
  <c r="BE575" i="6"/>
  <c r="AP585" i="6" s="1"/>
  <c r="BT575" i="6" s="1"/>
  <c r="BY576" i="6" s="1"/>
  <c r="BY579" i="6" s="1"/>
  <c r="CC537" i="6"/>
  <c r="BQ535" i="6"/>
  <c r="BQ539" i="6" s="1"/>
  <c r="AU537" i="6"/>
  <c r="AJ984" i="3"/>
  <c r="AJ1000" i="3" s="1"/>
  <c r="T24" i="5" s="1"/>
  <c r="AU538" i="6"/>
  <c r="AU535" i="6"/>
  <c r="AU536" i="6"/>
  <c r="BE577" i="6"/>
  <c r="AP587" i="6" s="1"/>
  <c r="AB950" i="3"/>
  <c r="B104" i="4"/>
  <c r="AB46" i="5" s="1"/>
  <c r="AB48" i="5" s="1"/>
  <c r="AB53" i="5" s="1"/>
  <c r="AB54" i="5" s="1"/>
  <c r="AC448" i="3"/>
  <c r="E97" i="15"/>
  <c r="D105" i="15"/>
  <c r="C105" i="15"/>
  <c r="B105" i="15"/>
  <c r="CC538" i="6"/>
  <c r="BU536" i="6"/>
  <c r="BU539" i="6" s="1"/>
  <c r="CC535" i="6"/>
  <c r="CQ648" i="3"/>
  <c r="J8" i="7" s="1"/>
  <c r="J10" i="7" s="1"/>
  <c r="U372" i="6" s="1"/>
  <c r="P414" i="3"/>
  <c r="BL590" i="6"/>
  <c r="BJ591" i="6" s="1"/>
  <c r="E11" i="9"/>
  <c r="E37" i="9" s="1"/>
  <c r="E49"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J58" i="25"/>
  <c r="AS544" i="6"/>
  <c r="AX548" i="6"/>
  <c r="AF697" i="6"/>
  <c r="BP590" i="6"/>
  <c r="BN591" i="6" s="1"/>
  <c r="BH590" i="6"/>
  <c r="BF591" i="6" s="1"/>
  <c r="G5" i="9"/>
  <c r="I4" i="9"/>
  <c r="B1011" i="3"/>
  <c r="M9" i="9"/>
  <c r="K10" i="9"/>
  <c r="G7" i="9"/>
  <c r="I6" i="9"/>
  <c r="O15" i="9"/>
  <c r="M22" i="9"/>
  <c r="M35" i="9" s="1"/>
  <c r="BY535" i="6" l="1"/>
  <c r="CC536" i="6" s="1"/>
  <c r="CC539" i="6" s="1"/>
  <c r="BY537" i="6"/>
  <c r="BY539" i="6" s="1"/>
  <c r="X1005" i="3"/>
  <c r="D1006" i="3" s="1"/>
  <c r="AB46" i="26"/>
  <c r="AB48" i="26" s="1"/>
  <c r="AB53" i="26" s="1"/>
  <c r="AB54" i="26" s="1"/>
  <c r="AC447" i="3"/>
  <c r="AB46" i="27"/>
  <c r="AB48" i="27" s="1"/>
  <c r="AB53" i="27" s="1"/>
  <c r="AB54" i="27" s="1"/>
  <c r="E105" i="15"/>
  <c r="BM549" i="6"/>
  <c r="BM552" i="6" s="1"/>
  <c r="CD577" i="6"/>
  <c r="CD579" i="6" s="1"/>
  <c r="BT579" i="6"/>
  <c r="BJ592" i="6"/>
  <c r="AV556" i="6" s="1"/>
  <c r="E45" i="9"/>
  <c r="E48"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1" i="9"/>
  <c r="G37" i="9" s="1"/>
  <c r="G49" i="9" s="1"/>
  <c r="K4" i="9"/>
  <c r="I5" i="9"/>
  <c r="M10" i="9"/>
  <c r="O9" i="9"/>
  <c r="T24" i="27"/>
  <c r="T24" i="26"/>
  <c r="Q15" i="9"/>
  <c r="O22" i="9"/>
  <c r="O35" i="9" s="1"/>
  <c r="I7" i="9"/>
  <c r="K6" i="9"/>
  <c r="E47" i="9" l="1"/>
  <c r="BQ550" i="6"/>
  <c r="BQ552" i="6" s="1"/>
  <c r="E60" i="9"/>
  <c r="E66" i="9" s="1"/>
  <c r="CI578" i="6"/>
  <c r="CI579" i="6" s="1"/>
  <c r="CN579" i="6" s="1"/>
  <c r="BD560" i="6" s="1"/>
  <c r="AT562" i="6" s="1"/>
  <c r="CG539" i="6"/>
  <c r="T26" i="5"/>
  <c r="T28" i="5" s="1"/>
  <c r="Y38" i="5" s="1"/>
  <c r="Y40" i="5" s="1"/>
  <c r="Q71" i="25"/>
  <c r="O75" i="25" s="1"/>
  <c r="R75" i="25" s="1"/>
  <c r="T29" i="26"/>
  <c r="T29" i="27"/>
  <c r="G45" i="9"/>
  <c r="G47" i="9" s="1"/>
  <c r="I11" i="9"/>
  <c r="I37" i="9" s="1"/>
  <c r="I45" i="9" s="1"/>
  <c r="M4" i="9"/>
  <c r="K5" i="9"/>
  <c r="AD38" i="5"/>
  <c r="AD40" i="5" s="1"/>
  <c r="AD38" i="26"/>
  <c r="AD40" i="26" s="1"/>
  <c r="Y38" i="26"/>
  <c r="Y40" i="26" s="1"/>
  <c r="AD38" i="27"/>
  <c r="AD40" i="27" s="1"/>
  <c r="Y38" i="27"/>
  <c r="Y40" i="27" s="1"/>
  <c r="Q9" i="9"/>
  <c r="O10" i="9"/>
  <c r="M6" i="9"/>
  <c r="K7" i="9"/>
  <c r="S15" i="9"/>
  <c r="Q22" i="9"/>
  <c r="Q35" i="9" s="1"/>
  <c r="E67" i="9" l="1"/>
  <c r="E70" i="9" s="1"/>
  <c r="E72" i="9" s="1"/>
  <c r="BU551" i="6"/>
  <c r="BU552" i="6" s="1"/>
  <c r="CC552" i="6" s="1"/>
  <c r="AW564" i="6"/>
  <c r="Y63" i="5"/>
  <c r="Y67" i="5" s="1"/>
  <c r="T29" i="5"/>
  <c r="Y41" i="26"/>
  <c r="AB55" i="26" s="1"/>
  <c r="AB56" i="26" s="1"/>
  <c r="AB58" i="26" s="1"/>
  <c r="F59" i="26" s="1"/>
  <c r="K11" i="9"/>
  <c r="K37" i="9" s="1"/>
  <c r="K45" i="9" s="1"/>
  <c r="G60" i="9"/>
  <c r="G48" i="9"/>
  <c r="I49" i="9"/>
  <c r="Y41" i="27"/>
  <c r="AB55" i="27" s="1"/>
  <c r="AB56" i="27" s="1"/>
  <c r="AB58" i="27" s="1"/>
  <c r="AB75" i="27" s="1"/>
  <c r="AB76" i="27" s="1"/>
  <c r="AB77" i="27" s="1"/>
  <c r="AB79" i="27" s="1"/>
  <c r="J80" i="27" s="1"/>
  <c r="M5" i="9"/>
  <c r="O4" i="9"/>
  <c r="Q10" i="9"/>
  <c r="S9" i="9"/>
  <c r="AR43" i="5"/>
  <c r="AR42" i="5"/>
  <c r="I60" i="9"/>
  <c r="I47" i="9"/>
  <c r="I48" i="9"/>
  <c r="U15" i="9"/>
  <c r="S22" i="9"/>
  <c r="S35" i="9" s="1"/>
  <c r="M7" i="9"/>
  <c r="O6" i="9"/>
  <c r="Y41" i="5" l="1"/>
  <c r="AB55" i="5" s="1"/>
  <c r="M25" i="3" s="1"/>
  <c r="P203" i="3" s="1"/>
  <c r="M11" i="9"/>
  <c r="M37" i="9" s="1"/>
  <c r="M49" i="9" s="1"/>
  <c r="F59" i="27"/>
  <c r="AB75" i="26"/>
  <c r="AB76" i="26" s="1"/>
  <c r="AB77" i="26" s="1"/>
  <c r="AB79" i="26" s="1"/>
  <c r="J80" i="26" s="1"/>
  <c r="I69" i="9"/>
  <c r="I62" i="9"/>
  <c r="I66" i="9"/>
  <c r="I68" i="9"/>
  <c r="I67" i="9"/>
  <c r="K49" i="9"/>
  <c r="G69" i="9"/>
  <c r="G68" i="9"/>
  <c r="G67" i="9"/>
  <c r="G62" i="9"/>
  <c r="G66" i="9"/>
  <c r="Q4" i="9"/>
  <c r="O5" i="9"/>
  <c r="U9" i="9"/>
  <c r="S10" i="9"/>
  <c r="Q6" i="9"/>
  <c r="O7" i="9"/>
  <c r="U22" i="9"/>
  <c r="U35" i="9" s="1"/>
  <c r="W15" i="9"/>
  <c r="K60" i="9"/>
  <c r="K47" i="9"/>
  <c r="K48" i="9"/>
  <c r="AB56" i="5" l="1"/>
  <c r="AB58" i="5" s="1"/>
  <c r="AB75" i="5" s="1"/>
  <c r="AB76" i="5" s="1"/>
  <c r="M45" i="9"/>
  <c r="M60" i="9" s="1"/>
  <c r="O11" i="9"/>
  <c r="O37" i="9" s="1"/>
  <c r="O45" i="9" s="1"/>
  <c r="K67" i="9"/>
  <c r="K66" i="9"/>
  <c r="K62" i="9"/>
  <c r="K69" i="9"/>
  <c r="K68" i="9"/>
  <c r="G70" i="9"/>
  <c r="G72" i="9" s="1"/>
  <c r="I70" i="9"/>
  <c r="I72" i="9" s="1"/>
  <c r="Q5" i="9"/>
  <c r="S4" i="9"/>
  <c r="W9" i="9"/>
  <c r="U10" i="9"/>
  <c r="S6" i="9"/>
  <c r="Q7" i="9"/>
  <c r="W22" i="9"/>
  <c r="W35" i="9" s="1"/>
  <c r="Y15" i="9"/>
  <c r="F59" i="5" l="1"/>
  <c r="M48" i="9"/>
  <c r="M47" i="9"/>
  <c r="O49" i="9"/>
  <c r="M62" i="9"/>
  <c r="M66" i="9"/>
  <c r="M69" i="9"/>
  <c r="M68" i="9"/>
  <c r="M67" i="9"/>
  <c r="Q11" i="9"/>
  <c r="Q37" i="9" s="1"/>
  <c r="Q49" i="9" s="1"/>
  <c r="K70" i="9"/>
  <c r="K72" i="9" s="1"/>
  <c r="S5" i="9"/>
  <c r="U4" i="9"/>
  <c r="AB77" i="5"/>
  <c r="AB79" i="5" s="1"/>
  <c r="J80" i="5" s="1"/>
  <c r="M27" i="3"/>
  <c r="Y9" i="9"/>
  <c r="W10" i="9"/>
  <c r="U6" i="9"/>
  <c r="S7" i="9"/>
  <c r="AA15" i="9"/>
  <c r="Y22" i="9"/>
  <c r="Y35" i="9" s="1"/>
  <c r="O48" i="9"/>
  <c r="O47" i="9"/>
  <c r="O60" i="9"/>
  <c r="Q45" i="9" l="1"/>
  <c r="Q48" i="9" s="1"/>
  <c r="M70" i="9"/>
  <c r="M72" i="9" s="1"/>
  <c r="O66" i="9"/>
  <c r="O69" i="9"/>
  <c r="O67" i="9"/>
  <c r="O68" i="9"/>
  <c r="O62" i="9"/>
  <c r="S11" i="9"/>
  <c r="S37" i="9" s="1"/>
  <c r="S49" i="9" s="1"/>
  <c r="U5" i="9"/>
  <c r="W4" i="9"/>
  <c r="AA9" i="9"/>
  <c r="Y10" i="9"/>
  <c r="W203" i="3"/>
  <c r="D203" i="3"/>
  <c r="W6" i="9"/>
  <c r="U7" i="9"/>
  <c r="AC15" i="9"/>
  <c r="AA22" i="9"/>
  <c r="AA35" i="9" s="1"/>
  <c r="U11" i="9" l="1"/>
  <c r="U37" i="9" s="1"/>
  <c r="U45" i="9" s="1"/>
  <c r="Q47" i="9"/>
  <c r="Q60" i="9"/>
  <c r="Q69" i="9" s="1"/>
  <c r="S45" i="9"/>
  <c r="S48" i="9" s="1"/>
  <c r="O70" i="9"/>
  <c r="O72" i="9" s="1"/>
  <c r="Y4" i="9"/>
  <c r="W5" i="9"/>
  <c r="AA10" i="9"/>
  <c r="AC9" i="9"/>
  <c r="Y6" i="9"/>
  <c r="W7" i="9"/>
  <c r="AC22" i="9"/>
  <c r="AC35" i="9" s="1"/>
  <c r="AE15" i="9"/>
  <c r="Q62" i="9" l="1"/>
  <c r="S60" i="9"/>
  <c r="S69" i="9" s="1"/>
  <c r="S47" i="9"/>
  <c r="Q66" i="9"/>
  <c r="Q67" i="9"/>
  <c r="Q68" i="9"/>
  <c r="W11" i="9"/>
  <c r="W37" i="9" s="1"/>
  <c r="W45" i="9" s="1"/>
  <c r="U49" i="9"/>
  <c r="AA4" i="9"/>
  <c r="Y5" i="9"/>
  <c r="AE9" i="9"/>
  <c r="AC10" i="9"/>
  <c r="AE22" i="9"/>
  <c r="AE35" i="9" s="1"/>
  <c r="AG15" i="9"/>
  <c r="AG22" i="9" s="1"/>
  <c r="AG35" i="9" s="1"/>
  <c r="U60" i="9"/>
  <c r="U48" i="9"/>
  <c r="U47" i="9"/>
  <c r="Y7" i="9"/>
  <c r="AA6" i="9"/>
  <c r="S67" i="9" l="1"/>
  <c r="S68" i="9"/>
  <c r="Q70" i="9"/>
  <c r="Q72" i="9" s="1"/>
  <c r="S66" i="9"/>
  <c r="S62" i="9"/>
  <c r="W49" i="9"/>
  <c r="Y11" i="9"/>
  <c r="Y37" i="9" s="1"/>
  <c r="Y49" i="9" s="1"/>
  <c r="U69" i="9"/>
  <c r="U68" i="9"/>
  <c r="U67" i="9"/>
  <c r="U66" i="9"/>
  <c r="U62" i="9"/>
  <c r="AA5" i="9"/>
  <c r="AC4" i="9"/>
  <c r="AE10" i="9"/>
  <c r="AG9" i="9"/>
  <c r="AG10" i="9" s="1"/>
  <c r="AC6" i="9"/>
  <c r="AA7" i="9"/>
  <c r="W47" i="9"/>
  <c r="W48" i="9"/>
  <c r="W60" i="9"/>
  <c r="S70" i="9" l="1"/>
  <c r="S72" i="9" s="1"/>
  <c r="Y45" i="9"/>
  <c r="Y48" i="9" s="1"/>
  <c r="AA11" i="9"/>
  <c r="AA37" i="9" s="1"/>
  <c r="AA49" i="9" s="1"/>
  <c r="U70" i="9"/>
  <c r="U72" i="9" s="1"/>
  <c r="W66" i="9"/>
  <c r="W69" i="9"/>
  <c r="W67" i="9"/>
  <c r="W62" i="9"/>
  <c r="W68" i="9"/>
  <c r="AC5" i="9"/>
  <c r="AE4" i="9"/>
  <c r="AE6" i="9"/>
  <c r="AC7" i="9"/>
  <c r="AC11" i="9" l="1"/>
  <c r="AC37" i="9" s="1"/>
  <c r="AC45" i="9" s="1"/>
  <c r="Y47" i="9"/>
  <c r="Y60" i="9"/>
  <c r="Y69" i="9" s="1"/>
  <c r="AA45" i="9"/>
  <c r="AA48" i="9" s="1"/>
  <c r="W70" i="9"/>
  <c r="W72" i="9" s="1"/>
  <c r="AE5" i="9"/>
  <c r="AG4" i="9"/>
  <c r="AG5" i="9" s="1"/>
  <c r="AE7" i="9"/>
  <c r="AG6" i="9"/>
  <c r="AC49" i="9" l="1"/>
  <c r="AA47" i="9"/>
  <c r="AA60" i="9"/>
  <c r="AA69" i="9" s="1"/>
  <c r="Y67" i="9"/>
  <c r="Y66" i="9"/>
  <c r="Y62" i="9"/>
  <c r="Y68" i="9"/>
  <c r="AE11" i="9"/>
  <c r="AE37" i="9" s="1"/>
  <c r="AE45" i="9" s="1"/>
  <c r="AG7" i="9"/>
  <c r="AG11" i="9" s="1"/>
  <c r="AG37" i="9" s="1"/>
  <c r="AC47" i="9"/>
  <c r="AC60" i="9"/>
  <c r="AC48" i="9"/>
  <c r="AA62" i="9" l="1"/>
  <c r="AA66" i="9"/>
  <c r="AA68" i="9"/>
  <c r="AA67" i="9"/>
  <c r="Y70" i="9"/>
  <c r="Y72" i="9" s="1"/>
  <c r="AC62" i="9"/>
  <c r="AC69" i="9"/>
  <c r="AC68" i="9"/>
  <c r="AC67" i="9"/>
  <c r="AC66" i="9"/>
  <c r="AE49" i="9"/>
  <c r="AG49" i="9"/>
  <c r="AG45" i="9"/>
  <c r="AE47" i="9"/>
  <c r="AE60" i="9"/>
  <c r="AE48" i="9"/>
  <c r="AA70" i="9" l="1"/>
  <c r="AA72" i="9" s="1"/>
  <c r="AC70" i="9"/>
  <c r="AC72" i="9" s="1"/>
  <c r="AE66" i="9"/>
  <c r="AE69" i="9"/>
  <c r="AE62" i="9"/>
  <c r="AE68" i="9"/>
  <c r="AE67" i="9"/>
  <c r="AG60" i="9"/>
  <c r="AG47" i="9"/>
  <c r="AG48" i="9"/>
  <c r="AE70" i="9" l="1"/>
  <c r="AE72" i="9" s="1"/>
  <c r="AG69" i="9"/>
  <c r="AG68" i="9"/>
  <c r="AG67" i="9"/>
  <c r="AG66" i="9"/>
  <c r="AG62" i="9"/>
  <c r="AG70" i="9" l="1"/>
  <c r="AG72" i="9" s="1"/>
  <c r="R10" i="4"/>
  <c r="R11" i="4" s="1"/>
  <c r="R62" i="4" s="1"/>
  <c r="R96" i="4" s="1"/>
  <c r="R104" i="4" s="1"/>
  <c r="J11" i="4"/>
  <c r="J12" i="4" s="1"/>
  <c r="J62" i="4" l="1"/>
  <c r="J96" i="4" s="1"/>
  <c r="J104" i="4" s="1"/>
  <c r="R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<sst xmlns="http://schemas.openxmlformats.org/spreadsheetml/2006/main" count="4695" uniqueCount="2505">
  <si>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</si>
  <si>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</si>
  <si>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</si>
  <si>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</si>
  <si>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</si>
  <si>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</si>
  <si>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</si>
  <si>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</si>
  <si>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</si>
  <si>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</si>
  <si>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</si>
  <si>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</si>
  <si>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</si>
  <si>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</si>
  <si>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</si>
  <si>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</si>
  <si>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</si>
  <si>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</si>
  <si>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</si>
  <si>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</si>
  <si>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</si>
  <si>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</si>
  <si>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</si>
  <si>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</si>
  <si>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</si>
  <si>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</si>
  <si>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</si>
  <si>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</si>
  <si>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</si>
  <si>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</si>
  <si>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</si>
  <si>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</si>
  <si>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</si>
  <si>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</si>
  <si>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</si>
  <si>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</si>
  <si>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</si>
  <si>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</si>
  <si>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</si>
  <si>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</si>
  <si>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</si>
  <si>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</si>
  <si>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</si>
  <si>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</si>
  <si>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</si>
  <si>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</si>
  <si>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</si>
  <si>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</si>
  <si>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</si>
  <si>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</si>
  <si>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</si>
  <si>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</si>
  <si>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</si>
  <si>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</si>
  <si>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</si>
  <si>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</si>
  <si>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</si>
  <si>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</si>
  <si>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</si>
  <si>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</si>
  <si>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</si>
  <si>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</si>
  <si>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</si>
  <si>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</si>
  <si>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</si>
  <si>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</si>
  <si>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</si>
  <si>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</si>
  <si>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</si>
  <si>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</si>
  <si>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</si>
  <si>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</si>
  <si>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</si>
  <si>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</si>
  <si>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</si>
  <si>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</si>
  <si>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</si>
  <si>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</si>
  <si>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</si>
  <si>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</si>
  <si>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</si>
  <si>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</si>
  <si>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</si>
  <si>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</si>
  <si>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</si>
  <si>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</si>
  <si>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</si>
  <si>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</si>
  <si>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</si>
  <si>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</si>
  <si>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</si>
  <si>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</si>
  <si>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</si>
  <si>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</si>
  <si>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</si>
  <si>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</si>
  <si>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</si>
  <si>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</si>
  <si>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</si>
  <si>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</si>
  <si>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</si>
  <si>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</si>
  <si>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</si>
  <si>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</si>
  <si>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</si>
  <si>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</si>
  <si>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</si>
  <si>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</si>
  <si>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</si>
  <si>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</si>
  <si>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</si>
  <si>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</si>
  <si>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</si>
  <si>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</si>
  <si>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</si>
  <si>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</si>
  <si>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</si>
  <si>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</si>
  <si>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</si>
  <si>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</si>
  <si>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</si>
  <si>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</si>
  <si>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</si>
  <si>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</si>
  <si>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</si>
  <si>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</si>
  <si>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</si>
  <si>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</si>
  <si>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</si>
  <si>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</si>
  <si>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</si>
  <si>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</si>
  <si>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</si>
  <si>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</si>
  <si>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</si>
  <si>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</si>
  <si>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</si>
  <si>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</si>
  <si>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</si>
  <si>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</si>
  <si>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</si>
  <si>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</si>
  <si>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</si>
  <si>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</si>
  <si>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</si>
  <si>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</si>
  <si>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</si>
  <si>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</si>
  <si>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</si>
  <si>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</si>
  <si>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</si>
  <si>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</si>
  <si>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</si>
  <si>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</si>
  <si>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</si>
  <si>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</si>
  <si>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</si>
  <si>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</si>
  <si>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</si>
  <si>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</si>
  <si>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</si>
  <si>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</si>
  <si>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</si>
  <si>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</si>
  <si>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</si>
  <si>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</si>
  <si>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</si>
  <si>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</si>
  <si>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</si>
  <si>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</si>
  <si>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</si>
  <si>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</si>
  <si>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</si>
  <si>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</si>
  <si>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</si>
  <si>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</si>
  <si>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</si>
  <si>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</si>
  <si>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</si>
  <si>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</si>
  <si>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</si>
  <si>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</si>
  <si>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</si>
  <si>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</si>
  <si>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</si>
  <si>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</si>
  <si>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</si>
  <si>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</si>
  <si>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</si>
  <si>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</si>
  <si>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</si>
  <si>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</si>
  <si>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</si>
  <si>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</si>
  <si>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</si>
  <si>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</si>
  <si>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</si>
  <si>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</si>
  <si>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</si>
  <si>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</si>
  <si>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</si>
  <si>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</si>
  <si>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</si>
  <si>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</si>
  <si>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</si>
  <si>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</si>
  <si>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</si>
  <si>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</si>
  <si>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</si>
  <si>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</si>
  <si>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</si>
  <si>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</si>
  <si>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</si>
  <si>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</si>
  <si>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</si>
  <si>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</si>
  <si>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</si>
  <si>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</si>
  <si>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</si>
  <si>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</si>
  <si>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</si>
  <si>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</si>
  <si>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</si>
  <si>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</si>
  <si>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</si>
  <si>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</si>
  <si>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</si>
  <si>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</si>
  <si>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</si>
  <si>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</si>
  <si>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</si>
  <si>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</si>
  <si>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</si>
  <si>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</si>
  <si>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</si>
  <si>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</si>
  <si>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</si>
  <si>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</si>
  <si>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</si>
  <si>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</si>
  <si>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</si>
  <si>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</si>
  <si>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</si>
  <si>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</si>
  <si>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</si>
  <si>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</si>
  <si>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</si>
  <si>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</si>
  <si>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</si>
  <si>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</si>
  <si>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</si>
  <si>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</si>
  <si>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</si>
  <si>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</si>
  <si>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</si>
  <si>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</si>
  <si>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</si>
  <si>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</si>
  <si>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</si>
  <si>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</si>
  <si>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</si>
  <si>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</si>
  <si>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</si>
  <si>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</si>
  <si>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</si>
  <si>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</si>
  <si>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</si>
  <si>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</si>
  <si>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</si>
  <si>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</si>
  <si>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</si>
  <si>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</si>
  <si>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</si>
  <si>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</si>
  <si>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</si>
  <si>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</si>
  <si>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</si>
  <si>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</si>
  <si>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</si>
  <si>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</si>
  <si>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</si>
  <si>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</si>
  <si>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</si>
  <si>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</si>
  <si>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</si>
  <si>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</si>
  <si>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</si>
  <si>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</si>
  <si>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</si>
  <si>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</si>
  <si>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</si>
  <si>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</si>
  <si>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</si>
  <si>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</si>
  <si>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</si>
  <si>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</si>
  <si>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</si>
  <si>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</si>
  <si>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</si>
  <si>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</si>
  <si>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</si>
  <si>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</si>
  <si>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</si>
  <si>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</si>
  <si>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</si>
  <si>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</si>
  <si>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</si>
  <si>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</si>
  <si>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</si>
  <si>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</si>
  <si>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</si>
  <si>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</si>
  <si>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</si>
  <si>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</si>
  <si>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</si>
  <si>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</si>
  <si>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</si>
  <si>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</si>
  <si>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</si>
  <si>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</si>
  <si>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</si>
  <si>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</si>
  <si>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</si>
  <si>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</si>
  <si>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</si>
  <si>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</si>
  <si>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</si>
  <si>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</si>
  <si>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</si>
  <si>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</si>
  <si>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</si>
  <si>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</si>
  <si>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</si>
  <si>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</si>
  <si>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</si>
  <si>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</si>
  <si>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</si>
  <si>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</si>
  <si>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</si>
  <si>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</si>
  <si>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</si>
  <si>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</si>
  <si>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</si>
  <si>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</si>
  <si>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</si>
  <si>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</si>
  <si>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</si>
  <si>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</si>
  <si>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</si>
  <si>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</si>
  <si>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</si>
  <si>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</si>
  <si>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</si>
  <si>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</si>
  <si>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</si>
  <si>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</si>
  <si>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</si>
  <si>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</si>
  <si>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</si>
  <si>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</si>
  <si>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</si>
  <si>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</si>
  <si>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</si>
  <si>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</si>
  <si>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</si>
  <si>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</si>
  <si>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</si>
  <si>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</si>
  <si>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</si>
  <si>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</si>
  <si>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</si>
  <si>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</si>
  <si>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</si>
  <si>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</si>
  <si>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</si>
  <si>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</si>
  <si>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</si>
  <si>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</si>
  <si>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</si>
  <si>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</si>
  <si>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</si>
  <si>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</si>
  <si>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</si>
  <si>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</si>
  <si>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</si>
  <si>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</si>
  <si>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</si>
  <si>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</si>
  <si>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</si>
  <si>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</si>
  <si>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</si>
  <si>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</si>
  <si>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</si>
  <si>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</si>
  <si>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</si>
  <si>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</si>
  <si>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</si>
  <si>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</si>
  <si>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</si>
  <si>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</si>
  <si>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</si>
  <si>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</si>
  <si>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</si>
  <si>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</si>
  <si>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</si>
  <si>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</si>
  <si>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</si>
  <si>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</si>
  <si>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</si>
  <si>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</si>
  <si>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</si>
  <si>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</si>
  <si>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</si>
  <si>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</si>
  <si>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</si>
  <si>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</si>
  <si>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</si>
  <si>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</si>
  <si>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</si>
  <si>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</si>
  <si>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</si>
  <si>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</si>
  <si>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</si>
  <si>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</si>
  <si>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</si>
  <si>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</si>
  <si>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</si>
  <si>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</si>
  <si>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</si>
  <si>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</si>
  <si>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</si>
  <si>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</si>
  <si>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</si>
  <si>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</si>
  <si>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</si>
  <si>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</si>
  <si>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</si>
  <si>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</si>
  <si>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</si>
  <si>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</si>
  <si>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</si>
  <si>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</si>
  <si>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</si>
  <si>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</si>
  <si>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</si>
  <si>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</si>
  <si>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</si>
  <si>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</si>
  <si>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</si>
  <si>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</si>
  <si>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</si>
  <si>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</si>
  <si>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</si>
  <si>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</si>
  <si>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</si>
  <si>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</si>
  <si>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</si>
  <si>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</si>
  <si>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</si>
  <si>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</si>
  <si>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</si>
  <si>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</si>
  <si>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</si>
  <si>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</si>
  <si>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</si>
  <si>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</si>
  <si>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</si>
  <si>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</si>
  <si>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</si>
  <si>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</si>
  <si>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</si>
  <si>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</si>
  <si>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</si>
  <si>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</si>
  <si>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</si>
  <si>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</si>
  <si>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</si>
  <si>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</si>
  <si>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</si>
  <si>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</si>
  <si>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</si>
  <si>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</si>
  <si>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</si>
  <si>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</si>
  <si>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</si>
  <si>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</si>
  <si>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</si>
  <si>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</si>
  <si>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</si>
  <si>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</si>
  <si>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</si>
  <si>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</si>
  <si>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</si>
  <si>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</si>
  <si>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</si>
  <si>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</si>
  <si>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</si>
  <si>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</si>
  <si>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</si>
  <si>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</si>
  <si>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</si>
  <si>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</si>
  <si>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</si>
  <si>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</si>
  <si>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</si>
  <si>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</si>
  <si>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</si>
  <si>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</si>
  <si>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</si>
  <si>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</si>
  <si>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</si>
  <si>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</si>
  <si>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</si>
  <si>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</si>
  <si>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</si>
  <si>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</si>
  <si>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</si>
  <si>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</si>
  <si>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</si>
  <si>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</si>
  <si>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</si>
  <si>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</si>
  <si>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</si>
  <si>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</si>
  <si>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</si>
  <si>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</si>
  <si>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</si>
  <si>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</si>
  <si>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</si>
  <si>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</si>
  <si>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</si>
  <si>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</si>
  <si>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</si>
  <si>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</si>
  <si>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</si>
  <si>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</si>
  <si>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</si>
  <si>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</si>
  <si>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</si>
  <si>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</si>
  <si>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</si>
  <si>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</si>
  <si>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</si>
  <si>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</si>
  <si>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</si>
  <si>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</si>
  <si>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</si>
  <si>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</si>
  <si>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</si>
  <si>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</si>
  <si>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</si>
  <si>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</si>
  <si>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</si>
  <si>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</si>
  <si>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</si>
  <si>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</si>
  <si>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</si>
  <si>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</si>
  <si>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</si>
  <si>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</si>
  <si>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</si>
  <si>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</si>
  <si>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</si>
  <si>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</si>
  <si>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</si>
  <si>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</si>
  <si>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</si>
  <si>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</si>
  <si>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</si>
  <si>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</si>
  <si>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</si>
  <si>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</si>
  <si>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</si>
  <si>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</si>
  <si>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</si>
  <si>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</si>
  <si>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</si>
  <si>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</si>
  <si>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</si>
  <si>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</si>
  <si>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</si>
  <si>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</si>
  <si>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</si>
  <si>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</si>
  <si>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</si>
  <si>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</si>
  <si>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</si>
  <si>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</si>
  <si>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</si>
  <si>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</si>
  <si>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</si>
  <si>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</si>
  <si>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</si>
  <si>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</si>
  <si>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</si>
  <si>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</si>
  <si>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</si>
  <si>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</si>
  <si>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</si>
  <si>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</si>
  <si>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</si>
  <si>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</si>
  <si>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</si>
  <si>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</si>
  <si>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</si>
  <si>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</si>
  <si>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</si>
  <si>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</si>
  <si>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</si>
  <si>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</si>
  <si>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</si>
  <si>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</si>
  <si>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</si>
  <si>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</si>
  <si>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</si>
  <si>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</si>
  <si>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</si>
  <si>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</si>
  <si>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</si>
  <si>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</si>
  <si>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</si>
  <si>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</si>
  <si>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</si>
  <si>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</si>
  <si>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</si>
  <si>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</si>
  <si>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</si>
  <si>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</si>
  <si>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</si>
  <si>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</si>
  <si>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</si>
  <si>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</si>
  <si>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</si>
  <si>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</si>
  <si>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</si>
  <si>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</si>
  <si>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</si>
  <si>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</si>
  <si>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</si>
  <si>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</si>
  <si>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</si>
  <si>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</si>
  <si>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</si>
  <si>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</si>
  <si>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</si>
  <si>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</si>
  <si>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</si>
  <si>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</si>
  <si>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</si>
  <si>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</si>
  <si>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</si>
  <si>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</si>
  <si>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</si>
  <si>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</si>
  <si>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</si>
  <si>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</si>
  <si>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</si>
  <si>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</si>
  <si>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</si>
  <si>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</si>
  <si>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</si>
  <si>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</si>
  <si>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</si>
  <si>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</si>
  <si>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</si>
  <si>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</si>
  <si>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</si>
  <si>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</si>
  <si>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</si>
  <si>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</si>
  <si>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</si>
  <si>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</si>
  <si>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</si>
  <si>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</si>
  <si>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</si>
  <si>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</si>
  <si>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</si>
  <si>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</si>
  <si>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</si>
  <si>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</si>
  <si>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</si>
  <si>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</si>
  <si>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</si>
  <si>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</si>
  <si>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</si>
  <si>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</si>
  <si>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</si>
  <si>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</si>
  <si>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</si>
  <si>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</si>
  <si>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</si>
  <si>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</si>
  <si>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</si>
  <si>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</si>
  <si>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</si>
  <si>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</si>
  <si>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</si>
  <si>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</si>
  <si>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</si>
  <si>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</si>
  <si>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</si>
  <si>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</si>
  <si>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</si>
  <si>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</si>
  <si>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</si>
  <si>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</si>
  <si>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</si>
  <si>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</si>
  <si>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</si>
  <si>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</si>
  <si>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</si>
  <si>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</si>
  <si>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</si>
  <si>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</si>
  <si>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</si>
  <si>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</si>
  <si>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</si>
  <si>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</si>
  <si>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</si>
  <si>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</si>
  <si>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</si>
  <si>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</si>
  <si>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</si>
  <si>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</si>
  <si>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</si>
  <si>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</si>
  <si>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</si>
  <si>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</si>
  <si>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</si>
  <si>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</si>
  <si>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</si>
  <si>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</si>
  <si>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</si>
  <si>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</si>
  <si>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</si>
  <si>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</si>
  <si>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</si>
  <si>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</si>
  <si>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</si>
  <si>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</si>
  <si>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</si>
  <si>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</si>
  <si>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</si>
  <si>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</si>
  <si>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</si>
  <si>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</si>
  <si>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</si>
  <si>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</si>
  <si>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</si>
  <si>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</si>
  <si>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</si>
  <si>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</si>
  <si>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</si>
  <si>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</si>
  <si>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</si>
  <si>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</si>
  <si>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</si>
  <si>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</si>
  <si>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</si>
  <si>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</si>
  <si>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</si>
  <si>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</si>
  <si>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</si>
  <si>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</si>
  <si>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</si>
  <si>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</si>
  <si>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</si>
  <si>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</si>
  <si>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</si>
  <si>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</si>
  <si>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</si>
  <si>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</si>
  <si>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</si>
  <si>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</si>
  <si>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</si>
  <si>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</si>
  <si>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</si>
  <si>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</si>
  <si>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</si>
  <si>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</si>
  <si>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</si>
  <si>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</si>
  <si>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</si>
  <si>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</si>
  <si>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</si>
  <si>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</si>
  <si>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</si>
  <si>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</si>
  <si>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</si>
  <si>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</si>
  <si>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</si>
  <si>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</si>
  <si>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</si>
  <si>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</si>
  <si>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</si>
  <si>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</si>
  <si>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</si>
  <si>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</si>
  <si>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</si>
  <si>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</si>
  <si>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</si>
  <si>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</si>
  <si>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</si>
  <si>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</si>
  <si>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</si>
  <si>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</si>
  <si>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</si>
  <si>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</si>
  <si>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</si>
  <si>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</si>
  <si>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</si>
  <si>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</si>
  <si>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</si>
  <si>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</si>
  <si>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</si>
  <si>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</si>
  <si>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</si>
  <si>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</si>
  <si>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</si>
  <si>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</si>
  <si>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</si>
  <si>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</si>
  <si>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</si>
  <si>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</si>
  <si>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</si>
  <si>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</si>
  <si>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</si>
  <si>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</si>
  <si>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</si>
  <si>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</si>
  <si>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</si>
  <si>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</si>
  <si>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</si>
  <si>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</si>
  <si>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</si>
  <si>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</si>
  <si>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</si>
  <si>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</si>
  <si>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</si>
  <si>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</si>
  <si>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</si>
  <si>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</si>
  <si>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</si>
  <si>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</si>
  <si>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</si>
  <si>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</si>
  <si>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</si>
  <si>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</si>
  <si>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</si>
  <si>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</si>
  <si>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</si>
  <si>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</si>
  <si>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</si>
  <si>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</si>
  <si>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</si>
  <si>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</si>
  <si>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</si>
  <si>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</si>
  <si>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</si>
  <si>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</si>
  <si>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</si>
  <si>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</si>
  <si>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</si>
  <si>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</si>
  <si>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</si>
  <si>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</si>
  <si>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</si>
  <si>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</si>
  <si>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</si>
  <si>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</si>
  <si>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</si>
  <si>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</si>
  <si>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</si>
  <si>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</si>
  <si>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</si>
  <si>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</si>
  <si>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</si>
  <si>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</si>
  <si>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</si>
  <si>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</si>
  <si>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</si>
  <si>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</si>
  <si>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</si>
  <si>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</si>
  <si>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</si>
  <si>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</si>
  <si>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</si>
  <si>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</si>
  <si>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</si>
  <si>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</si>
  <si>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</si>
  <si>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</si>
  <si>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</si>
  <si>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</si>
  <si>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</si>
  <si>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</si>
  <si>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</si>
  <si>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</si>
  <si>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</si>
  <si>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</si>
  <si>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</si>
  <si>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</si>
  <si>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</si>
  <si>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</si>
  <si>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</si>
  <si>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</si>
  <si>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</si>
  <si>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</si>
  <si>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</si>
  <si>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</si>
  <si>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</si>
  <si>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</si>
  <si>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</si>
  <si>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</si>
  <si>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</si>
  <si>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</si>
  <si>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</si>
  <si>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</si>
  <si>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</si>
  <si>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</si>
  <si>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</si>
  <si>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</si>
  <si>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</si>
  <si>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</si>
  <si>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</si>
  <si>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</si>
  <si>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</si>
  <si>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</si>
  <si>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</si>
  <si>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</si>
  <si>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</si>
  <si>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</si>
  <si>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</si>
  <si>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</si>
  <si>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</si>
  <si>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</si>
  <si>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</si>
  <si>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</si>
  <si>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</si>
  <si>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</si>
  <si>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</si>
  <si>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</si>
  <si>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</si>
  <si>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</si>
  <si>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</si>
  <si>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</si>
  <si>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</si>
  <si>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</si>
  <si>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</si>
  <si>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</si>
  <si>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</si>
  <si>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</si>
  <si>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</si>
  <si>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</si>
  <si>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</si>
  <si>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</si>
  <si>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</si>
  <si>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</si>
  <si>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</si>
  <si>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</si>
  <si>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</si>
  <si>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</si>
  <si>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</si>
  <si>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</si>
  <si>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</si>
  <si>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</si>
  <si>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</si>
  <si>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</si>
  <si>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</si>
  <si>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</si>
  <si>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</si>
  <si>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</si>
  <si>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</si>
  <si>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</si>
  <si>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</si>
  <si>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</si>
  <si>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</si>
  <si>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</si>
  <si>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</si>
  <si>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</si>
  <si>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</si>
  <si>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</si>
  <si>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</si>
  <si>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</si>
  <si>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</si>
  <si>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</si>
  <si>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</si>
  <si>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</si>
  <si>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</si>
  <si>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</si>
  <si>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</si>
  <si>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</si>
  <si>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</si>
  <si>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</si>
  <si>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</si>
  <si>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</si>
  <si>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</si>
  <si>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</si>
  <si>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</si>
  <si>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</si>
  <si>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</si>
  <si>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</si>
  <si>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</si>
  <si>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</si>
  <si>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</si>
  <si>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</si>
  <si>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</si>
  <si>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</si>
  <si>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</si>
  <si>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</si>
  <si>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</si>
  <si>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</si>
  <si>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</si>
  <si>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</si>
  <si>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</si>
  <si>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</si>
  <si>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</si>
  <si>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</si>
  <si>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</si>
  <si>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</si>
  <si>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</si>
  <si>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</si>
  <si>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</si>
  <si>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</si>
  <si>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</si>
  <si>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</si>
  <si>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</si>
  <si>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</si>
  <si>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</si>
  <si>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</si>
  <si>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</si>
  <si>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</si>
  <si>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</si>
  <si>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</si>
  <si>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</si>
  <si>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</si>
  <si>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</si>
  <si>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</si>
  <si>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</si>
  <si>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</si>
  <si>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</si>
  <si>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</si>
  <si>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</si>
  <si>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</si>
  <si>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</si>
  <si>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</si>
  <si>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</si>
  <si>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</si>
  <si>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</si>
  <si>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</si>
  <si>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</si>
  <si>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</si>
  <si>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</si>
  <si>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</si>
  <si>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</si>
  <si>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</si>
  <si>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</si>
  <si>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</si>
  <si>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</si>
  <si>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</si>
  <si>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</si>
  <si>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</si>
  <si>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</si>
  <si>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</si>
  <si>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</si>
  <si>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</si>
  <si>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</si>
  <si>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</si>
  <si>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</si>
  <si>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</si>
  <si>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</si>
  <si>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</si>
  <si>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</si>
  <si>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</si>
  <si>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</si>
  <si>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</si>
  <si>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</si>
  <si>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</si>
  <si>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</si>
  <si>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</si>
  <si>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</si>
  <si>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</si>
  <si>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</si>
  <si>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</si>
  <si>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</si>
  <si>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</si>
  <si>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</si>
  <si>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</si>
  <si>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</si>
  <si>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</si>
  <si>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</si>
  <si>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</si>
  <si>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</si>
  <si>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</si>
  <si>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</si>
  <si>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</si>
  <si>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</si>
  <si>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</si>
  <si>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</si>
  <si>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</si>
  <si>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</si>
  <si>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</si>
  <si>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</si>
  <si>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</si>
  <si>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</si>
  <si>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</si>
  <si>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</si>
  <si>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</si>
  <si>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</si>
  <si>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</si>
  <si>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</si>
  <si>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</si>
  <si>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</si>
  <si>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</si>
  <si>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</si>
  <si>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</si>
  <si>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</si>
  <si>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</si>
  <si>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</si>
  <si>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</si>
  <si>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</si>
  <si>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</si>
  <si>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</si>
  <si>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</si>
  <si>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</si>
  <si>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</si>
  <si>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</si>
  <si>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</si>
  <si>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</si>
  <si>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</si>
  <si>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</si>
  <si>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</si>
  <si>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</si>
  <si>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</si>
  <si>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</si>
  <si>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</si>
  <si>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</si>
  <si>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</si>
  <si>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</si>
  <si>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</si>
  <si>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</si>
  <si>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</si>
  <si>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</si>
  <si>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</si>
  <si>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</si>
  <si>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</si>
  <si>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</si>
  <si>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</si>
  <si>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</si>
  <si>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</si>
  <si>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</si>
  <si>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</si>
  <si>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</si>
  <si>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</si>
  <si>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</si>
  <si>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</si>
  <si>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</si>
  <si>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</si>
  <si>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</si>
  <si>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</si>
  <si>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</si>
  <si>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</si>
  <si>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</si>
  <si>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</si>
  <si>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</si>
  <si>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</si>
  <si>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</si>
  <si>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</si>
  <si>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</si>
  <si>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</si>
  <si>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</si>
  <si>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</si>
  <si>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</si>
  <si>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</si>
  <si>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</si>
  <si>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</si>
  <si>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</si>
  <si>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</si>
  <si>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</si>
  <si>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</si>
  <si>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</si>
  <si>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</si>
  <si>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</si>
  <si>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</si>
  <si>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</si>
  <si>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</si>
  <si>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</si>
  <si>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</si>
  <si>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</si>
  <si>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</si>
  <si>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</si>
  <si>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</si>
  <si>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</si>
  <si>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</si>
  <si>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</si>
  <si>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</si>
  <si>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</si>
  <si>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</si>
  <si>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</si>
  <si>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</si>
  <si>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</si>
  <si>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</si>
  <si>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</si>
  <si>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</si>
  <si>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</si>
  <si>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</si>
  <si>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</si>
  <si>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</si>
  <si>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</si>
  <si>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</si>
  <si>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</si>
  <si>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</si>
  <si>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</si>
  <si>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</si>
  <si>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</si>
  <si>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</si>
  <si>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</si>
  <si>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</si>
  <si>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</si>
  <si>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</si>
  <si>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</si>
  <si>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</si>
  <si>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</si>
  <si>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</si>
  <si>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</si>
  <si>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</si>
  <si>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</si>
  <si>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</si>
  <si>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</si>
  <si>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</si>
  <si>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</si>
  <si>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</si>
  <si>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</si>
  <si>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</si>
  <si>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</si>
  <si>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</si>
  <si>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</si>
  <si>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</si>
  <si>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</si>
  <si>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</si>
  <si>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</si>
  <si>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</si>
  <si>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</si>
  <si>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</si>
  <si>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</si>
  <si>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</si>
  <si>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</si>
  <si>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</si>
  <si>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</si>
  <si>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</si>
  <si>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</si>
  <si>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</si>
  <si>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</si>
  <si>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</si>
  <si>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</si>
  <si>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</si>
  <si>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</si>
  <si>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</si>
  <si>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</si>
  <si>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</si>
  <si>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</si>
  <si>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</si>
  <si>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</si>
  <si>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</si>
  <si>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</si>
  <si>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</si>
  <si>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</si>
  <si>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</si>
  <si>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</si>
  <si>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</si>
  <si>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</si>
  <si>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</si>
  <si>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</si>
  <si>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</si>
  <si>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</si>
  <si>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</si>
  <si>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</si>
  <si>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</si>
  <si>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</si>
  <si>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</si>
  <si>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</si>
  <si>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</si>
  <si>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</si>
  <si>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</si>
  <si>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</si>
  <si>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</si>
  <si>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</si>
  <si>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</si>
  <si>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</si>
  <si>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</si>
  <si>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</si>
  <si>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</si>
  <si>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</si>
  <si>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</si>
  <si>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</si>
  <si>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</si>
  <si>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</si>
  <si>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</si>
  <si>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</si>
  <si>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</si>
  <si>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</si>
  <si>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</si>
  <si>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</si>
  <si>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</si>
  <si>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</si>
  <si>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</si>
  <si>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</si>
  <si>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</si>
  <si>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</si>
  <si>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</si>
  <si>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</si>
  <si>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</si>
  <si>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</si>
  <si>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</si>
  <si>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</si>
  <si>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</si>
  <si>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</si>
  <si>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</si>
  <si>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</si>
  <si>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</si>
  <si>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</si>
  <si>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</si>
  <si>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</si>
  <si>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</si>
  <si>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</si>
  <si>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</si>
  <si>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</si>
  <si>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</si>
  <si>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</si>
  <si>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</si>
  <si>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</si>
  <si>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</si>
  <si>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</si>
  <si>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</si>
  <si>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</si>
  <si>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</si>
  <si>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</si>
  <si>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</si>
  <si>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</si>
  <si>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</si>
  <si>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</si>
  <si>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</si>
  <si>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</si>
  <si>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</si>
  <si>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</si>
  <si>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</si>
  <si>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</si>
  <si>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</si>
  <si>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</si>
  <si>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</si>
  <si>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</si>
  <si>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</si>
  <si>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</si>
  <si>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</si>
  <si>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</si>
  <si>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</si>
  <si>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</si>
  <si>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</si>
  <si>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</si>
  <si>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</si>
  <si>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</si>
  <si>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</si>
  <si>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</si>
  <si>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</si>
  <si>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</si>
  <si>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</si>
  <si>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</si>
  <si>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</si>
  <si>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</si>
  <si>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</si>
  <si>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</si>
  <si>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</si>
  <si>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</si>
  <si>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</si>
  <si>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</si>
  <si>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</si>
  <si>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</si>
  <si>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</si>
  <si>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</si>
  <si>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</si>
  <si>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</si>
  <si>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</si>
  <si>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</si>
  <si>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</si>
  <si>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</si>
  <si>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</si>
  <si>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</si>
  <si>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</si>
  <si>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</si>
  <si>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</si>
  <si>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</si>
  <si>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</si>
  <si>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</si>
  <si>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</si>
  <si>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</si>
  <si>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</si>
  <si>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</si>
  <si>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</si>
  <si>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</si>
  <si>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</si>
  <si>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</si>
  <si>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</si>
  <si>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</si>
  <si>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</si>
  <si>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</si>
  <si>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</si>
  <si>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</si>
  <si>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</si>
  <si>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</si>
  <si>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</si>
  <si>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</si>
  <si>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</si>
  <si>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</si>
  <si>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</si>
  <si>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</si>
  <si>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</si>
  <si>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</si>
  <si>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</si>
  <si>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</si>
  <si>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</si>
  <si>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</si>
  <si>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</si>
  <si>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</si>
  <si>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</si>
  <si>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</si>
  <si>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</si>
  <si>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</si>
  <si>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</si>
  <si>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</si>
  <si>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</si>
  <si>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</si>
  <si>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</si>
  <si>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</si>
  <si>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</si>
  <si>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</si>
  <si>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</si>
  <si>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</si>
  <si>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</si>
  <si>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</si>
  <si>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</si>
  <si>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</si>
  <si>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</si>
  <si>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</si>
  <si>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</si>
  <si>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</si>
  <si>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</si>
  <si>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</si>
  <si>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</si>
  <si>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</si>
  <si>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</si>
  <si>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</si>
  <si>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</si>
  <si>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</si>
  <si>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</si>
  <si>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</si>
  <si>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</si>
  <si>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</si>
  <si>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</si>
  <si>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</si>
  <si>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</si>
  <si>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</si>
  <si>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</si>
  <si>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</si>
  <si>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</si>
  <si>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</si>
  <si>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</si>
  <si>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</si>
  <si>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</si>
  <si>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</si>
  <si>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</si>
  <si>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</si>
  <si>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</si>
  <si>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</si>
  <si>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</si>
  <si>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</si>
  <si>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</si>
  <si>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</si>
  <si>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</si>
  <si>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</si>
  <si>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</si>
  <si>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</si>
  <si>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</si>
  <si>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</si>
  <si>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</si>
  <si>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</si>
  <si>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</si>
  <si>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</si>
  <si>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</si>
  <si>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</si>
  <si>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</si>
  <si>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</si>
  <si>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</si>
  <si>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</si>
  <si>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</si>
  <si>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</si>
  <si>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</si>
  <si>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</si>
  <si>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</si>
  <si>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</si>
  <si>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</si>
  <si>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</si>
  <si>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</si>
  <si>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</si>
  <si>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</si>
  <si>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</si>
  <si>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</si>
  <si>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</si>
  <si>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</si>
  <si>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</si>
  <si>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</si>
  <si>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</si>
  <si>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</si>
  <si>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</si>
  <si>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</si>
  <si>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</si>
  <si>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</si>
  <si>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</si>
  <si>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</si>
  <si>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</si>
  <si>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</si>
  <si>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</si>
  <si>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</si>
  <si>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</si>
  <si>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</si>
  <si>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</si>
  <si>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</si>
  <si>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</si>
  <si>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</si>
  <si>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</si>
  <si>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</si>
  <si>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</si>
  <si>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</si>
  <si>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</si>
  <si>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</si>
  <si>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</si>
  <si>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</si>
  <si>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</si>
  <si>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</si>
  <si>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</si>
  <si>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</si>
  <si>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</si>
  <si>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</si>
  <si>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</si>
  <si>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</si>
  <si>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</si>
  <si>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</si>
  <si>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</si>
  <si>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</si>
  <si>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</si>
  <si>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</si>
  <si>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</si>
  <si>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</si>
  <si>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</si>
  <si>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</si>
  <si>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</si>
  <si>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</si>
  <si>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</si>
  <si>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</si>
  <si>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</si>
  <si>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</si>
  <si>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</si>
  <si>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</si>
  <si>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</si>
  <si>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</si>
  <si>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</si>
  <si>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</si>
  <si>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</si>
  <si>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</si>
  <si>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</si>
  <si>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</si>
  <si>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</si>
  <si>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</si>
  <si>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</si>
  <si>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</si>
  <si>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</si>
  <si>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</si>
  <si>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</si>
  <si>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</si>
  <si>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</si>
  <si>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</si>
  <si>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</si>
  <si>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</si>
  <si>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</si>
  <si>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</si>
  <si>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</si>
  <si>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</si>
  <si>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</si>
  <si>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</si>
  <si>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</si>
  <si>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</si>
  <si>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</si>
  <si>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</si>
  <si>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</si>
  <si>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</si>
  <si>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</si>
  <si>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</si>
  <si>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</si>
  <si>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</si>
  <si>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</si>
  <si>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</si>
  <si>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</si>
  <si>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</si>
  <si>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</si>
  <si>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</si>
  <si>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</si>
  <si>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</si>
  <si>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</si>
  <si>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</si>
  <si>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</si>
  <si>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</si>
  <si>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</si>
  <si>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</si>
  <si>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</si>
  <si>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</si>
  <si>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</si>
  <si>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</si>
  <si>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</si>
  <si>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</si>
  <si>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</si>
  <si>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</si>
  <si>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</si>
  <si>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</si>
  <si>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</si>
  <si>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</si>
  <si>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</si>
  <si>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</si>
  <si>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</si>
  <si>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</si>
  <si>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</si>
  <si>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</si>
  <si>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</si>
  <si>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</si>
  <si>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</si>
  <si>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</si>
  <si>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</si>
  <si>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</si>
  <si>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</si>
  <si>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</si>
  <si>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</si>
  <si>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</si>
  <si>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</si>
  <si>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</si>
  <si>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</si>
  <si>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</si>
  <si>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</si>
  <si>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</si>
  <si>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</si>
  <si>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</si>
  <si>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</si>
  <si>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</si>
  <si>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</si>
  <si>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</si>
  <si>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</si>
  <si>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</si>
  <si>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</si>
  <si>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</si>
  <si>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</si>
  <si>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</si>
  <si>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</si>
  <si>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</si>
  <si>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</si>
  <si>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</si>
  <si>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</si>
  <si>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</si>
  <si>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</si>
  <si>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</si>
  <si>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</si>
  <si>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</si>
  <si>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</si>
  <si>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</si>
  <si>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</si>
  <si>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</si>
  <si>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</si>
  <si>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</si>
  <si>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</si>
  <si>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</si>
  <si>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</si>
  <si>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</si>
  <si>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</si>
  <si>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</si>
  <si>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</si>
  <si>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</si>
  <si>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</si>
  <si>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</si>
  <si>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</si>
  <si>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</si>
  <si>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</si>
  <si>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</si>
  <si>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</si>
  <si>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</si>
  <si>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</si>
  <si>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</si>
  <si>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</si>
  <si>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</si>
  <si>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</si>
  <si>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</si>
  <si>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</si>
  <si>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</si>
  <si>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</si>
  <si>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</si>
  <si>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</si>
  <si>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</si>
  <si>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</si>
  <si>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</si>
  <si>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</si>
  <si>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</si>
  <si>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</si>
  <si>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</si>
  <si>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</si>
  <si>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</si>
  <si>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</si>
  <si>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</si>
  <si>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</si>
  <si>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</si>
  <si>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</si>
  <si>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</si>
  <si>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</si>
  <si>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</si>
  <si>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</si>
  <si>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</si>
  <si>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</si>
  <si>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</si>
  <si>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</si>
  <si>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</si>
  <si>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</si>
  <si>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</si>
  <si>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</si>
  <si>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</si>
  <si>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</si>
  <si>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</si>
  <si>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</si>
  <si>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</si>
  <si>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</si>
  <si>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</si>
  <si>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</si>
  <si>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</si>
  <si>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</si>
  <si>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</si>
  <si>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</si>
  <si>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</si>
  <si>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</si>
  <si>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</si>
  <si>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</si>
  <si>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</si>
  <si>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</si>
  <si>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</si>
  <si>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</si>
  <si>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</si>
  <si>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</si>
  <si>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</si>
  <si>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</si>
  <si>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</si>
  <si>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</si>
  <si>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</si>
  <si>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</si>
  <si>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</si>
  <si>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</si>
  <si>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</si>
  <si>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</si>
  <si>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</si>
  <si>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</si>
  <si>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</si>
  <si>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</si>
  <si>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</si>
  <si>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</si>
  <si>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</si>
  <si>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</si>
  <si>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</si>
  <si>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</si>
  <si>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</si>
  <si>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</si>
  <si>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</si>
  <si>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</si>
  <si>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</si>
  <si>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</si>
  <si>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</si>
  <si>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</si>
  <si>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</si>
  <si>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</si>
  <si>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</si>
  <si>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</si>
  <si>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</si>
  <si>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</si>
  <si>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</si>
  <si>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</si>
  <si>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</si>
  <si>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</si>
  <si>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</si>
  <si>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</si>
  <si>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</si>
  <si>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</si>
  <si>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</si>
  <si>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</si>
  <si>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</si>
  <si>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</si>
  <si>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</si>
  <si>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</si>
  <si>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</si>
  <si>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</si>
  <si>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</si>
  <si>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</si>
  <si>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</si>
  <si>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</si>
  <si>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</si>
  <si>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</si>
  <si>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</si>
  <si>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</si>
  <si>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</si>
  <si>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</si>
  <si>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</si>
  <si>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</si>
  <si>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</si>
  <si>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</si>
  <si>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</si>
  <si>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</si>
  <si>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</si>
  <si>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</si>
  <si>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</si>
  <si>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</si>
  <si>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</si>
  <si>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</si>
  <si>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</si>
  <si>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</si>
  <si>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</si>
  <si>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</si>
  <si>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</si>
  <si>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</si>
  <si>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</si>
  <si>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</si>
  <si>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</si>
  <si>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</si>
  <si>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</si>
  <si>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</si>
  <si>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</si>
  <si>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</si>
  <si>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</si>
  <si>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</si>
  <si>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</si>
  <si>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</si>
  <si>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</si>
  <si>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</si>
  <si>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</si>
  <si>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</si>
  <si>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</si>
  <si>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</si>
  <si>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</si>
  <si>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</si>
  <si>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</si>
  <si>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</si>
  <si>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</si>
  <si>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</si>
  <si>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</si>
  <si>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</si>
  <si>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</si>
  <si>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</si>
  <si>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</si>
  <si>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</si>
  <si>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</si>
  <si>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</si>
  <si>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</si>
  <si>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</si>
  <si>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</si>
  <si>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</si>
  <si>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</si>
  <si>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</si>
  <si>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</si>
  <si>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</si>
  <si>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</si>
  <si>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</si>
  <si>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</si>
  <si>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</si>
  <si>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</si>
  <si>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</si>
  <si>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</si>
  <si>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</si>
  <si>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</si>
  <si>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</si>
  <si>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</si>
  <si>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</si>
  <si>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</si>
  <si>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</si>
  <si>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</si>
  <si>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</si>
  <si>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</si>
  <si>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</si>
  <si>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</si>
  <si>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</si>
  <si>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</si>
  <si>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</si>
  <si>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</si>
  <si>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</si>
  <si>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</si>
  <si>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</si>
  <si>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</si>
  <si>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</si>
  <si>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</si>
  <si>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</si>
  <si>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</si>
  <si>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</si>
  <si>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</si>
  <si>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</si>
  <si>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</si>
  <si>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</si>
  <si>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</si>
  <si>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</si>
  <si>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</si>
  <si>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</si>
  <si>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</si>
  <si>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</si>
  <si>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</si>
  <si>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</si>
  <si>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</si>
  <si>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</si>
  <si>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</si>
  <si>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</si>
  <si>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</si>
  <si>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</si>
  <si>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</si>
  <si>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</si>
  <si>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</si>
  <si>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</si>
  <si>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</si>
  <si>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</si>
  <si>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</si>
  <si>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</si>
  <si>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</si>
  <si>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</si>
  <si>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</si>
  <si>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</si>
  <si>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</si>
  <si>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</si>
  <si>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</si>
  <si>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</si>
  <si>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</si>
  <si>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</si>
  <si>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</si>
  <si>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</si>
  <si>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</si>
  <si>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</si>
  <si>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</si>
  <si>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</si>
  <si>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</si>
  <si>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</si>
  <si>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</si>
  <si>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</si>
  <si>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</si>
  <si>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</si>
  <si>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</si>
  <si>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</si>
  <si>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</si>
  <si>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</si>
  <si>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</si>
  <si>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</si>
  <si>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</si>
  <si>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</si>
  <si>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</si>
  <si>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</si>
  <si>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</si>
  <si>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</si>
  <si>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</si>
  <si>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</si>
  <si>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</si>
  <si>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</si>
  <si>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</si>
  <si>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</si>
  <si>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</si>
  <si>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</si>
  <si>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</si>
  <si>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</si>
  <si>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</si>
  <si>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</si>
  <si>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</si>
  <si>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</si>
  <si>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</si>
  <si>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</si>
  <si>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</si>
  <si>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</si>
  <si>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</si>
  <si>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</si>
  <si>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</si>
  <si>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</si>
  <si>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</si>
  <si>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</si>
  <si>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</si>
  <si>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</si>
  <si>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</si>
  <si>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</si>
  <si>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</si>
  <si>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</si>
  <si>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</si>
  <si>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</si>
  <si>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</si>
  <si>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</si>
  <si>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</si>
  <si>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</si>
  <si>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</si>
  <si>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</si>
  <si>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</si>
  <si>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</si>
  <si>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</si>
  <si>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</si>
  <si>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</si>
  <si>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</si>
  <si>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</si>
  <si>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</si>
  <si>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</si>
  <si>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</si>
  <si>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</si>
  <si>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</si>
  <si>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</si>
  <si>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</si>
  <si>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</si>
  <si>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</si>
  <si>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</si>
  <si>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</si>
  <si>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</si>
  <si>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</si>
  <si>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</si>
  <si>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</si>
  <si>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</si>
  <si>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</si>
  <si>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</si>
  <si>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</si>
  <si>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</si>
  <si>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</si>
  <si>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</si>
  <si>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</si>
  <si>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</si>
  <si>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</si>
  <si>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</si>
  <si>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</si>
  <si>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</si>
  <si>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</si>
  <si>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</si>
  <si>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</si>
  <si>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</si>
  <si>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</si>
  <si>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</si>
  <si>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</si>
  <si>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</si>
  <si>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</si>
  <si>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</si>
  <si>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</si>
  <si>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</si>
  <si>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</si>
  <si>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</si>
  <si>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</si>
  <si>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</si>
  <si>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</si>
  <si>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</si>
  <si>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</si>
  <si>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</si>
  <si>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</si>
  <si>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</si>
  <si>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</si>
  <si>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</si>
  <si>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</si>
  <si>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</si>
  <si>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</si>
  <si>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</si>
  <si>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</si>
  <si>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</si>
  <si>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</si>
  <si>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</si>
  <si>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</si>
  <si>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</si>
  <si>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</si>
  <si>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</si>
  <si>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</si>
  <si>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</si>
  <si>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</si>
  <si>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</si>
  <si>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</si>
  <si>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</si>
  <si>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</si>
  <si>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</si>
  <si>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</si>
  <si>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</si>
  <si>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</si>
  <si>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</si>
  <si>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</si>
  <si>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</si>
  <si>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</si>
  <si>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</si>
  <si>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</si>
  <si>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</si>
  <si>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</si>
  <si>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</si>
  <si>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</si>
  <si>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</si>
  <si>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</si>
  <si>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</si>
  <si>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</si>
  <si>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</si>
  <si>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</si>
  <si>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</si>
  <si>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</si>
  <si>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</si>
  <si>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</si>
  <si>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</si>
  <si>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</si>
  <si>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</si>
  <si>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</si>
  <si>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</si>
  <si>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</si>
  <si>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</si>
  <si>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</si>
  <si>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</si>
  <si>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</si>
  <si>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</si>
  <si>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</si>
  <si>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</si>
  <si>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</si>
  <si>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</si>
  <si>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</si>
  <si>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</si>
  <si>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</si>
  <si>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</si>
  <si>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</si>
  <si>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</si>
  <si>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</si>
  <si>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</si>
  <si>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</si>
  <si>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</si>
  <si>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</si>
  <si>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</si>
  <si>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</si>
  <si>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</si>
  <si>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</si>
  <si>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</si>
  <si>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</si>
  <si>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</si>
  <si>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</si>
  <si>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</si>
  <si>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</si>
  <si>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</si>
  <si>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</si>
  <si>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</si>
  <si>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</si>
  <si>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</si>
  <si>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</si>
  <si>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</si>
  <si>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</si>
  <si>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</si>
  <si>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</si>
  <si>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</si>
  <si>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</si>
  <si>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</si>
  <si>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</si>
  <si>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</si>
  <si>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</si>
  <si>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</si>
  <si>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</si>
  <si>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</si>
  <si>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</si>
  <si>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</si>
  <si>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</si>
  <si>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</si>
  <si>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</si>
  <si>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</si>
  <si>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</si>
  <si>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</si>
  <si>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</si>
  <si>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</si>
  <si>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</si>
  <si>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</si>
  <si>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</si>
  <si>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</si>
  <si>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</si>
  <si>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</si>
  <si>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</si>
  <si>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</si>
  <si>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</si>
  <si>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</si>
  <si>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</si>
  <si>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</si>
  <si>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</si>
  <si>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</si>
  <si>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</si>
  <si>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</si>
  <si>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</si>
  <si>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</si>
  <si>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</si>
  <si>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</si>
  <si>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</si>
  <si>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</si>
  <si>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</si>
  <si>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</si>
  <si>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</si>
  <si>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</si>
  <si>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</si>
  <si>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</si>
  <si>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</si>
  <si>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</si>
  <si>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</si>
  <si>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</si>
  <si>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</si>
  <si>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</si>
  <si>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</si>
  <si>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</si>
  <si>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</si>
  <si>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</si>
  <si>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</si>
  <si>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</si>
  <si>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</si>
  <si>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</si>
  <si>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</si>
  <si>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</si>
  <si>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</si>
  <si>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</si>
  <si>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</si>
  <si>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</si>
  <si>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</si>
  <si>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</si>
  <si>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</si>
  <si>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</si>
  <si>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</si>
  <si>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</si>
  <si>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</si>
  <si>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</si>
  <si>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</si>
  <si>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</si>
  <si>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</si>
  <si>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</si>
  <si>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</si>
  <si>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</si>
  <si>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</si>
  <si>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</si>
  <si>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</si>
  <si>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</si>
  <si>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</si>
  <si>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</si>
  <si>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</si>
  <si>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</si>
  <si>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</si>
  <si>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</si>
  <si>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</si>
  <si>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</si>
  <si>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</si>
  <si>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</si>
  <si>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</si>
  <si>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</si>
  <si>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</si>
  <si>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</si>
  <si>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</si>
  <si>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</si>
  <si>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</si>
  <si>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</si>
  <si>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</si>
  <si>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</si>
  <si>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</si>
  <si>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</si>
  <si>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</si>
  <si>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</si>
  <si>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</si>
  <si>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</si>
  <si>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</si>
  <si>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</si>
  <si>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</si>
  <si>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</si>
  <si>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</si>
  <si>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</si>
  <si>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</si>
  <si>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</si>
  <si>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</si>
  <si>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</si>
  <si>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</si>
  <si>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</si>
  <si>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</si>
  <si>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</si>
  <si>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</si>
  <si>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</si>
  <si>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</si>
  <si>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</si>
  <si>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</si>
  <si>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</si>
  <si>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</si>
  <si>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</si>
  <si>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</si>
  <si>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</si>
  <si>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</si>
  <si>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</si>
  <si>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</si>
  <si>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</si>
  <si>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</si>
  <si>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</si>
  <si>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</si>
  <si>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</si>
  <si>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</si>
  <si>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</si>
  <si>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</si>
  <si>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</si>
  <si>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</si>
  <si>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</si>
  <si>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</si>
  <si>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</si>
  <si>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</si>
  <si>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</si>
  <si>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</si>
  <si>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</si>
  <si>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</si>
  <si>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</si>
  <si>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</si>
  <si>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</si>
  <si>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</si>
  <si>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</si>
  <si>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</si>
  <si>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</si>
  <si>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</si>
  <si>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</si>
  <si>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</si>
  <si>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</si>
  <si>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</si>
  <si>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</si>
  <si>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</si>
  <si>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</si>
  <si>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</si>
  <si>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</si>
  <si>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</si>
  <si>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</si>
  <si>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</si>
  <si>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</si>
  <si>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</si>
  <si>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</si>
  <si>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</si>
  <si>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</si>
  <si>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</si>
  <si>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</si>
  <si>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</si>
  <si>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Vista del Monte Affordable Housing, Inc.</t>
  </si>
  <si>
    <t>6th Street Grand</t>
  </si>
  <si>
    <t>Paul S. Park</t>
  </si>
  <si>
    <t>Secretary</t>
  </si>
  <si>
    <t>City of Montebello</t>
  </si>
  <si>
    <t>Ms. Joyce DeKreek</t>
  </si>
  <si>
    <t>1600 W. Beverly Blvd.</t>
  </si>
  <si>
    <t>Montebello</t>
  </si>
  <si>
    <t>323-887-1390</t>
  </si>
  <si>
    <t>323-887-1401</t>
  </si>
  <si>
    <t>jdekreek@cityofmontebello.com</t>
  </si>
  <si>
    <t>112 - 132 South 6th Street</t>
  </si>
  <si>
    <t>6349-005-900, 6349-005-901, 6349-005-902, 6349-005-903, 6349-005-006</t>
  </si>
  <si>
    <t>40%/60%</t>
  </si>
  <si>
    <t>316 W. 2nd Street Suite 600</t>
  </si>
  <si>
    <t>Managing GP</t>
  </si>
  <si>
    <t>alfredoi@chavezfoundation.org</t>
  </si>
  <si>
    <t>Alfredo R. Izmajtovich</t>
  </si>
  <si>
    <t>CA</t>
  </si>
  <si>
    <t>213-362-0260</t>
  </si>
  <si>
    <t>General Partner</t>
  </si>
  <si>
    <t>Cesar Chavez Foundation</t>
  </si>
  <si>
    <t>316 W 2nd Street, Suite 600</t>
  </si>
  <si>
    <t>Los Angeles, CA 90012</t>
  </si>
  <si>
    <t>Alfredo R. Izmajtvoich</t>
  </si>
  <si>
    <t>GGA+</t>
  </si>
  <si>
    <t>135 West Green St. Suite 200</t>
  </si>
  <si>
    <t>Pasadena, CA 91105</t>
  </si>
  <si>
    <t>Ali Barar, AIA</t>
  </si>
  <si>
    <t>abarar@ggarch.com</t>
  </si>
  <si>
    <t>Lubin Olsen</t>
  </si>
  <si>
    <t>600 Montgomery Street, 14th Floor</t>
  </si>
  <si>
    <t>San Francisco, CA 94111</t>
  </si>
  <si>
    <t>Carolyn Lee</t>
  </si>
  <si>
    <t>Greenfield Construction</t>
  </si>
  <si>
    <t>316 West 2nd St., Suite 600</t>
  </si>
  <si>
    <t>Richard Rollins</t>
  </si>
  <si>
    <t>clee@lubinolson.com</t>
  </si>
  <si>
    <t>rrollins@greenfielddev.org</t>
  </si>
  <si>
    <t>626-568-1428</t>
  </si>
  <si>
    <t>415-955-5061</t>
  </si>
  <si>
    <t xml:space="preserve">Kingdom Development, Inc. </t>
  </si>
  <si>
    <t xml:space="preserve">6451 Box Springs Blvd </t>
  </si>
  <si>
    <t>Riverside, CA, 92507</t>
  </si>
  <si>
    <t xml:space="preserve">William Leach </t>
  </si>
  <si>
    <t>Novogradac Consulting, LLP</t>
  </si>
  <si>
    <t>6700 Antioch Road, Suite 450</t>
  </si>
  <si>
    <t>Merriam, Kansas 66204</t>
  </si>
  <si>
    <t>Rachel Denton</t>
  </si>
  <si>
    <t>Hyder &amp; Company</t>
  </si>
  <si>
    <t>1649 Capalina Road, Suite 500</t>
  </si>
  <si>
    <t>San Marcos, CA 92069</t>
  </si>
  <si>
    <t>Gary Da Prato</t>
  </si>
  <si>
    <t>gdaprato@hyderco.com</t>
  </si>
  <si>
    <t>william@kingdomdevelopment.net</t>
  </si>
  <si>
    <t>rachel.denton@novoco.com</t>
  </si>
  <si>
    <t>951-538-6244</t>
  </si>
  <si>
    <t>913-677-4600</t>
  </si>
  <si>
    <t>760-591-9737</t>
  </si>
  <si>
    <t>Other (Specify below)</t>
  </si>
  <si>
    <t>Four story building with elevator over 1 level of subterranean parking</t>
  </si>
  <si>
    <t>50' - 3"</t>
  </si>
  <si>
    <t>Deferred Fees &amp; Costs</t>
  </si>
  <si>
    <t>560 Mission St., 3rd Floor</t>
  </si>
  <si>
    <t>1600 W. Beverly Blvd</t>
  </si>
  <si>
    <t>Douglas R. Leezer</t>
  </si>
  <si>
    <t>Rene Bodadilla</t>
  </si>
  <si>
    <t>858-812-2448</t>
  </si>
  <si>
    <t>323-887-1200</t>
  </si>
  <si>
    <t>101 Arch Street</t>
  </si>
  <si>
    <t>Boston</t>
  </si>
  <si>
    <t>617-439-3911</t>
  </si>
  <si>
    <t>9% Equity</t>
  </si>
  <si>
    <t>Hard Payments</t>
  </si>
  <si>
    <t>Soft Debt</t>
  </si>
  <si>
    <t>Deferred Develop Fee</t>
  </si>
  <si>
    <t>700 West Main St.</t>
  </si>
  <si>
    <t>El Hambra</t>
  </si>
  <si>
    <t>626-262-4511</t>
  </si>
  <si>
    <t>Los Angeles County Development Authority</t>
  </si>
  <si>
    <t>Montebello Bus Line</t>
  </si>
  <si>
    <t>Whittier &amp; 6th St</t>
  </si>
  <si>
    <t>Montebello 90640</t>
  </si>
  <si>
    <t>Young Gi-Kim Harabedian</t>
  </si>
  <si>
    <t>Montebello Library</t>
  </si>
  <si>
    <t>1550 W. Beverly Blvd</t>
  </si>
  <si>
    <t>Skye Patrick</t>
  </si>
  <si>
    <t>www.lacountylibrary.org</t>
  </si>
  <si>
    <t>www.ridembl@cityofmontebello.com</t>
  </si>
  <si>
    <t>323-558-1625</t>
  </si>
  <si>
    <t>323-772-6551</t>
  </si>
  <si>
    <t>Montebello City Park</t>
  </si>
  <si>
    <t>1301 W. Whittier Blvd</t>
  </si>
  <si>
    <t>David Sosnowski</t>
  </si>
  <si>
    <t>www.cityofmontebello.com</t>
  </si>
  <si>
    <t>323-887-4540</t>
  </si>
  <si>
    <t>Beverly Hospital</t>
  </si>
  <si>
    <t>309 W. Beverly Blvd</t>
  </si>
  <si>
    <t>Alice Cheng, FACHE</t>
  </si>
  <si>
    <t>www.beverly.org</t>
  </si>
  <si>
    <t>323-726-1222</t>
  </si>
  <si>
    <t>CVS Pharmecy</t>
  </si>
  <si>
    <t>800 W. Whittier Blvd</t>
  </si>
  <si>
    <t>Manager on duty</t>
  </si>
  <si>
    <t>www.cvs.com</t>
  </si>
  <si>
    <t>323-278-9098</t>
  </si>
  <si>
    <t>Superior Grocers</t>
  </si>
  <si>
    <t>1201 W. Whittier Blvd</t>
  </si>
  <si>
    <t>www.superiorgrocers.com</t>
  </si>
  <si>
    <t>323-278-9837</t>
  </si>
  <si>
    <t>Montebello High School</t>
  </si>
  <si>
    <t>2100 W. Cleveland Ave</t>
  </si>
  <si>
    <t>Constantino Duarte</t>
  </si>
  <si>
    <t>www.mhs.montebello.k12.ca.us</t>
  </si>
  <si>
    <t>Downtown Women's Center</t>
  </si>
  <si>
    <t>Boston Financial</t>
  </si>
  <si>
    <t>LACDA</t>
  </si>
  <si>
    <t>Ying Sing LP / The City of Montebello</t>
  </si>
  <si>
    <t>Danny Ku</t>
  </si>
  <si>
    <t>1600 W. Beverly Blvd. Montebello, CA 90640</t>
  </si>
  <si>
    <t>650 Camino De Gloria 2nd floor Walnut CA 91789</t>
  </si>
  <si>
    <t>Air conditioning</t>
  </si>
  <si>
    <t>City of Montebello / Impact Fee Loan</t>
  </si>
  <si>
    <t>JP Morgan Chase Bank / Perm Loan</t>
  </si>
  <si>
    <t>City of Montebello / Land Note</t>
  </si>
  <si>
    <t>LACDA / AHTF</t>
  </si>
  <si>
    <t>Novogradac &amp; Company LLP</t>
  </si>
  <si>
    <t>1435 N. McDowell Blvd Suite 350</t>
  </si>
  <si>
    <t>Petaluma, CA 94954</t>
  </si>
  <si>
    <t>Lance Smith</t>
  </si>
  <si>
    <t>415-223-6144</t>
  </si>
  <si>
    <t>lance.smith@novoco.com</t>
  </si>
  <si>
    <t>101 Arch St</t>
  </si>
  <si>
    <t>Roy Faerber</t>
  </si>
  <si>
    <t>Boston, Massachusetts 02110</t>
  </si>
  <si>
    <t>617-439-9978</t>
  </si>
  <si>
    <t>The City of Montebello / City Land Note</t>
  </si>
  <si>
    <t>The City of Montebello / Impact Fee Loan</t>
  </si>
  <si>
    <t>Boston Financial / Equity</t>
  </si>
  <si>
    <t>Emilio Salas</t>
  </si>
  <si>
    <t>Operating Subsidy</t>
  </si>
  <si>
    <t>Toxic Abatement</t>
  </si>
  <si>
    <t>roy.faerber@bfim.com</t>
  </si>
  <si>
    <t>The City of Montebello</t>
  </si>
  <si>
    <t>1 bedroom</t>
  </si>
  <si>
    <t>2 bedroom</t>
  </si>
  <si>
    <t>3 bedroom</t>
  </si>
  <si>
    <t>Relocation</t>
  </si>
  <si>
    <t>LACDA Fees</t>
  </si>
  <si>
    <t>10/wk</t>
  </si>
  <si>
    <t>264/yr</t>
  </si>
  <si>
    <t>1 FTE</t>
  </si>
  <si>
    <t>Land Note Loan / City of Montebello</t>
  </si>
  <si>
    <t>Impact Fee Loan / City of Montebello</t>
  </si>
  <si>
    <t>AHTF / LACDA</t>
  </si>
  <si>
    <t>MOU</t>
  </si>
  <si>
    <t>Service Agreement</t>
  </si>
  <si>
    <t>Joseph A. Palombi</t>
  </si>
  <si>
    <t>Director of Planning &amp; Community Development</t>
  </si>
  <si>
    <t>n/a</t>
  </si>
  <si>
    <t>LACDA AHTF</t>
  </si>
  <si>
    <t>Project-based vouchers (PBVs)</t>
  </si>
  <si>
    <t>20</t>
  </si>
  <si>
    <t>Fixed</t>
  </si>
  <si>
    <t>Fees</t>
  </si>
  <si>
    <t>LACDA AHTF and vouchers</t>
  </si>
  <si>
    <t>Kingdom Development, Inc.</t>
  </si>
  <si>
    <t>Consultant</t>
  </si>
  <si>
    <t>William Leach</t>
  </si>
  <si>
    <t>6451 Box Springs Blvd</t>
  </si>
  <si>
    <t>Office Admin</t>
  </si>
  <si>
    <t>Alfredo Izmajtovich</t>
  </si>
  <si>
    <t>316 W. 2nd St, Suite 600</t>
  </si>
  <si>
    <t>Planned Development (PD2-15) , Zone Change (ZC2-15), AB 1763 = 68 units</t>
  </si>
  <si>
    <t>Mixed use</t>
  </si>
  <si>
    <t>JPMorgan Chase Bank / Construction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</si>
</sst>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0.0"/>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0" fillId="7" borderId="5" xfId="0" applyFill="1" applyBorder="1" applyAlignment="1" applyProtection="1">
      <protection locked="0"/>
    </xf>
    <xf numFmtId="4" fontId="6" fillId="0" borderId="12" xfId="0" applyNumberFormat="1" applyFont="1" applyFill="1" applyBorder="1" applyProtection="1"/>
    <xf numFmtId="180" fontId="6" fillId="12" borderId="12" xfId="0" applyNumberFormat="1" applyFont="1" applyFill="1" applyBorder="1" applyProtection="1">
      <protection locked="0"/>
    </xf>
    <xf numFmtId="4" fontId="6" fillId="0" borderId="12" xfId="0" applyNumberFormat="1" applyFont="1" applyBorder="1" applyProtection="1"/>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0" borderId="0" xfId="0" applyFont="1" applyAlignment="1" applyProtection="1">
      <alignment horizontal="left"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3" xfId="0" applyNumberFormat="1"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0" xfId="0" applyFont="1" applyFill="1" applyBorder="1" applyAlignment="1" applyProtection="1">
      <alignment horizontal="left" vertical="top" wrapText="1"/>
      <protection locked="0"/>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2">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2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www.treasurer.ca.gov/ctcac/2018/lra/contact.pdf"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18" t="s">
        <v>2136</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8"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4" t="s">
        <v>796</v>
      </c>
      <c r="C4" s="1064"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08" t="s">
        <v>2140</v>
      </c>
      <c r="E7" s="1508"/>
      <c r="F7" s="1508"/>
      <c r="G7" s="1508"/>
      <c r="H7" s="1508"/>
      <c r="I7" s="1508"/>
      <c r="J7" s="1508"/>
      <c r="K7" s="1508"/>
      <c r="L7" s="1508"/>
      <c r="M7" s="1508"/>
      <c r="N7" s="1508"/>
      <c r="O7" s="1508"/>
      <c r="P7" s="1508"/>
      <c r="Q7" s="1508"/>
      <c r="R7" s="1508"/>
      <c r="S7" s="1508"/>
      <c r="T7" s="1508"/>
      <c r="U7" s="1508"/>
      <c r="V7" s="1508"/>
      <c r="W7" s="1508"/>
      <c r="X7" s="1508"/>
      <c r="Y7" s="1508"/>
      <c r="Z7" s="1508"/>
      <c r="AA7" s="1508"/>
      <c r="AB7" s="1508"/>
      <c r="AC7" s="1508"/>
      <c r="AD7" s="1508"/>
      <c r="AE7" s="1508"/>
      <c r="AF7" s="1508"/>
      <c r="AG7" s="1508"/>
      <c r="AH7" s="1508"/>
      <c r="AI7" s="1508"/>
      <c r="AJ7" s="1508"/>
      <c r="AK7" s="1508"/>
      <c r="AL7" s="1"/>
    </row>
    <row r="8" spans="1:38">
      <c r="A8" s="283"/>
      <c r="B8" s="1"/>
      <c r="C8" s="358"/>
      <c r="D8" s="1508"/>
      <c r="E8" s="1508"/>
      <c r="F8" s="1508"/>
      <c r="G8" s="1508"/>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
    </row>
    <row r="9" spans="1:38">
      <c r="A9" s="283"/>
      <c r="B9" s="1"/>
      <c r="C9" s="35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
    </row>
    <row r="10" spans="1:38">
      <c r="A10" s="283"/>
      <c r="B10" s="1"/>
      <c r="C10" s="35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
    </row>
    <row r="11" spans="1:38">
      <c r="A11" s="283"/>
      <c r="B11" s="1"/>
      <c r="C11" s="35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c r="AD11" s="1508"/>
      <c r="AE11" s="1508"/>
      <c r="AF11" s="1508"/>
      <c r="AG11" s="1508"/>
      <c r="AH11" s="1508"/>
      <c r="AI11" s="1508"/>
      <c r="AJ11" s="1508"/>
      <c r="AK11" s="1508"/>
      <c r="AL11" s="1"/>
    </row>
    <row r="12" spans="1:38">
      <c r="A12" s="283"/>
      <c r="B12" s="1"/>
      <c r="C12" s="35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
    </row>
    <row r="13" spans="1:38">
      <c r="A13" s="283"/>
      <c r="B13" s="1"/>
      <c r="C13" s="358"/>
      <c r="D13" s="1508"/>
      <c r="E13" s="1508"/>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c r="AB13" s="1508"/>
      <c r="AC13" s="1508"/>
      <c r="AD13" s="1508"/>
      <c r="AE13" s="1508"/>
      <c r="AF13" s="1508"/>
      <c r="AG13" s="1508"/>
      <c r="AH13" s="1508"/>
      <c r="AI13" s="1508"/>
      <c r="AJ13" s="1508"/>
      <c r="AK13" s="1508"/>
      <c r="AL13" s="1"/>
    </row>
    <row r="14" spans="1:38">
      <c r="A14" s="283"/>
      <c r="B14" s="1"/>
      <c r="C14" s="358"/>
      <c r="D14" s="1508"/>
      <c r="E14" s="1508"/>
      <c r="F14" s="1508"/>
      <c r="G14" s="1508"/>
      <c r="H14" s="1508"/>
      <c r="I14" s="1508"/>
      <c r="J14" s="1508"/>
      <c r="K14" s="1508"/>
      <c r="L14" s="1508"/>
      <c r="M14" s="1508"/>
      <c r="N14" s="1508"/>
      <c r="O14" s="1508"/>
      <c r="P14" s="1508"/>
      <c r="Q14" s="1508"/>
      <c r="R14" s="1508"/>
      <c r="S14" s="1508"/>
      <c r="T14" s="1508"/>
      <c r="U14" s="1508"/>
      <c r="V14" s="1508"/>
      <c r="W14" s="1508"/>
      <c r="X14" s="1508"/>
      <c r="Y14" s="1508"/>
      <c r="Z14" s="1508"/>
      <c r="AA14" s="1508"/>
      <c r="AB14" s="1508"/>
      <c r="AC14" s="1508"/>
      <c r="AD14" s="1508"/>
      <c r="AE14" s="1508"/>
      <c r="AF14" s="1508"/>
      <c r="AG14" s="1508"/>
      <c r="AH14" s="1508"/>
      <c r="AI14" s="1508"/>
      <c r="AJ14" s="1508"/>
      <c r="AK14" s="1508"/>
      <c r="AL14" s="1"/>
    </row>
    <row r="15" spans="1:38">
      <c r="A15" s="283"/>
      <c r="B15" s="1"/>
      <c r="C15" s="358"/>
      <c r="D15" s="1508"/>
      <c r="E15" s="1508"/>
      <c r="F15" s="1508"/>
      <c r="G15" s="1508"/>
      <c r="H15" s="1508"/>
      <c r="I15" s="1508"/>
      <c r="J15" s="1508"/>
      <c r="K15" s="1508"/>
      <c r="L15" s="1508"/>
      <c r="M15" s="1508"/>
      <c r="N15" s="1508"/>
      <c r="O15" s="1508"/>
      <c r="P15" s="1508"/>
      <c r="Q15" s="1508"/>
      <c r="R15" s="1508"/>
      <c r="S15" s="1508"/>
      <c r="T15" s="1508"/>
      <c r="U15" s="1508"/>
      <c r="V15" s="1508"/>
      <c r="W15" s="1508"/>
      <c r="X15" s="1508"/>
      <c r="Y15" s="1508"/>
      <c r="Z15" s="1508"/>
      <c r="AA15" s="1508"/>
      <c r="AB15" s="1508"/>
      <c r="AC15" s="1508"/>
      <c r="AD15" s="1508"/>
      <c r="AE15" s="1508"/>
      <c r="AF15" s="1508"/>
      <c r="AG15" s="1508"/>
      <c r="AH15" s="1508"/>
      <c r="AI15" s="1508"/>
      <c r="AJ15" s="1508"/>
      <c r="AK15" s="1508"/>
      <c r="AL15" s="1"/>
    </row>
    <row r="16" spans="1:38">
      <c r="A16" s="283"/>
      <c r="B16" s="1"/>
      <c r="C16" s="358"/>
      <c r="D16" s="1508"/>
      <c r="E16" s="1508"/>
      <c r="F16" s="1508"/>
      <c r="G16" s="1508"/>
      <c r="H16" s="1508"/>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AK16" s="1508"/>
      <c r="AL16" s="1"/>
    </row>
    <row r="17" spans="1:38">
      <c r="A17" s="283"/>
      <c r="B17" s="1"/>
      <c r="C17" s="358"/>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1508"/>
      <c r="AL17" s="1"/>
    </row>
    <row r="18" spans="1:38" ht="11.1" customHeight="1">
      <c r="A18" s="283"/>
      <c r="B18" s="1"/>
      <c r="C18" s="358"/>
      <c r="D18" s="1508"/>
      <c r="E18" s="1508"/>
      <c r="F18" s="1508"/>
      <c r="G18" s="1508"/>
      <c r="H18" s="1508"/>
      <c r="I18" s="1508"/>
      <c r="J18" s="1508"/>
      <c r="K18" s="1508"/>
      <c r="L18" s="1508"/>
      <c r="M18" s="1508"/>
      <c r="N18" s="1508"/>
      <c r="O18" s="1508"/>
      <c r="P18" s="1508"/>
      <c r="Q18" s="1508"/>
      <c r="R18" s="1508"/>
      <c r="S18" s="1508"/>
      <c r="T18" s="1508"/>
      <c r="U18" s="1508"/>
      <c r="V18" s="1508"/>
      <c r="W18" s="1508"/>
      <c r="X18" s="1508"/>
      <c r="Y18" s="1508"/>
      <c r="Z18" s="1508"/>
      <c r="AA18" s="1508"/>
      <c r="AB18" s="1508"/>
      <c r="AC18" s="1508"/>
      <c r="AD18" s="1508"/>
      <c r="AE18" s="1508"/>
      <c r="AF18" s="1508"/>
      <c r="AG18" s="1508"/>
      <c r="AH18" s="1508"/>
      <c r="AI18" s="1508"/>
      <c r="AJ18" s="1508"/>
      <c r="AK18" s="1508"/>
      <c r="AL18" s="1"/>
    </row>
    <row r="19" spans="1:38" ht="13.65" customHeight="1">
      <c r="A19" s="283"/>
      <c r="B19" s="1"/>
      <c r="C19" s="358"/>
      <c r="D19" s="1508" t="s">
        <v>2326</v>
      </c>
      <c r="E19" s="1508"/>
      <c r="F19" s="1508"/>
      <c r="G19" s="1508"/>
      <c r="H19" s="1508"/>
      <c r="I19" s="1508"/>
      <c r="J19" s="1508"/>
      <c r="K19" s="1508"/>
      <c r="L19" s="1508"/>
      <c r="M19" s="1508"/>
      <c r="N19" s="1508"/>
      <c r="O19" s="1508"/>
      <c r="P19" s="1508"/>
      <c r="Q19" s="1508"/>
      <c r="R19" s="1508"/>
      <c r="S19" s="1508"/>
      <c r="T19" s="1508"/>
      <c r="U19" s="1508"/>
      <c r="V19" s="1508"/>
      <c r="W19" s="1508"/>
      <c r="X19" s="1508"/>
      <c r="Y19" s="1508"/>
      <c r="Z19" s="1508"/>
      <c r="AA19" s="1508"/>
      <c r="AB19" s="1508"/>
      <c r="AC19" s="1508"/>
      <c r="AD19" s="1508"/>
      <c r="AE19" s="1508"/>
      <c r="AF19" s="1508"/>
      <c r="AG19" s="1508"/>
      <c r="AH19" s="1508"/>
      <c r="AI19" s="1508"/>
      <c r="AJ19" s="1508"/>
      <c r="AK19" s="1508"/>
      <c r="AL19" s="1"/>
    </row>
    <row r="20" spans="1:38">
      <c r="A20" s="283"/>
      <c r="B20" s="1"/>
      <c r="C20" s="35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
    </row>
    <row r="21" spans="1:38">
      <c r="A21" s="283"/>
      <c r="B21" s="1"/>
      <c r="C21" s="35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
    </row>
    <row r="22" spans="1:38">
      <c r="A22" s="283"/>
      <c r="B22" s="1"/>
      <c r="C22" s="358"/>
      <c r="D22" s="1508"/>
      <c r="E22" s="1508"/>
      <c r="F22" s="1508"/>
      <c r="G22" s="1508"/>
      <c r="H22" s="1508"/>
      <c r="I22" s="1508"/>
      <c r="J22" s="1508"/>
      <c r="K22" s="1508"/>
      <c r="L22" s="1508"/>
      <c r="M22" s="1508"/>
      <c r="N22" s="1508"/>
      <c r="O22" s="1508"/>
      <c r="P22" s="1508"/>
      <c r="Q22" s="1508"/>
      <c r="R22" s="1508"/>
      <c r="S22" s="1508"/>
      <c r="T22" s="1508"/>
      <c r="U22" s="1508"/>
      <c r="V22" s="1508"/>
      <c r="W22" s="1508"/>
      <c r="X22" s="1508"/>
      <c r="Y22" s="1508"/>
      <c r="Z22" s="1508"/>
      <c r="AA22" s="1508"/>
      <c r="AB22" s="1508"/>
      <c r="AC22" s="1508"/>
      <c r="AD22" s="1508"/>
      <c r="AE22" s="1508"/>
      <c r="AF22" s="1508"/>
      <c r="AG22" s="1508"/>
      <c r="AH22" s="1508"/>
      <c r="AI22" s="1508"/>
      <c r="AJ22" s="1508"/>
      <c r="AK22" s="1508"/>
      <c r="AL22" s="1"/>
    </row>
    <row r="23" spans="1:38">
      <c r="A23" s="283"/>
      <c r="B23" s="1"/>
      <c r="C23" s="35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
    </row>
    <row r="24" spans="1:38">
      <c r="A24" s="283"/>
      <c r="B24" s="1"/>
      <c r="C24" s="35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c r="AE24" s="1508"/>
      <c r="AF24" s="1508"/>
      <c r="AG24" s="1508"/>
      <c r="AH24" s="1508"/>
      <c r="AI24" s="1508"/>
      <c r="AJ24" s="1508"/>
      <c r="AK24" s="1508"/>
      <c r="AL24" s="1"/>
    </row>
    <row r="25" spans="1:38">
      <c r="A25" s="283"/>
      <c r="B25" s="1"/>
      <c r="C25" s="35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
    </row>
    <row r="26" spans="1:38">
      <c r="A26" s="283"/>
      <c r="B26" s="1"/>
      <c r="C26" s="358"/>
      <c r="D26" s="288"/>
      <c r="E26" s="1510" t="s">
        <v>2327</v>
      </c>
      <c r="F26" s="1510"/>
      <c r="G26" s="1510"/>
      <c r="H26" s="1510"/>
      <c r="I26" s="1510"/>
      <c r="J26" s="1510"/>
      <c r="K26" s="1510"/>
      <c r="L26" s="1510"/>
      <c r="M26" s="1510"/>
      <c r="N26" s="1510"/>
      <c r="O26" s="1510"/>
      <c r="P26" s="1510"/>
      <c r="Q26" s="1510"/>
      <c r="R26" s="1510"/>
      <c r="S26" s="1510"/>
      <c r="T26" s="1510"/>
      <c r="U26" s="1510"/>
      <c r="V26" s="1510"/>
      <c r="W26" s="1510"/>
      <c r="X26" s="1510"/>
      <c r="Y26" s="1510"/>
      <c r="Z26" s="1510"/>
      <c r="AA26" s="1510"/>
      <c r="AB26" s="1510"/>
      <c r="AC26" s="1510"/>
      <c r="AD26" s="1510"/>
      <c r="AE26" s="1510"/>
      <c r="AF26" s="1510"/>
      <c r="AG26" s="1510"/>
      <c r="AH26" s="1510"/>
      <c r="AI26" s="1510"/>
      <c r="AJ26" s="1510"/>
      <c r="AK26" s="1510"/>
      <c r="AL26" s="1"/>
    </row>
    <row r="27" spans="1:38">
      <c r="A27" s="283"/>
      <c r="B27" s="1"/>
      <c r="C27" s="358"/>
      <c r="D27" s="272"/>
      <c r="E27" s="1510" t="s">
        <v>2047</v>
      </c>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510"/>
      <c r="AB27" s="1510"/>
      <c r="AC27" s="1510"/>
      <c r="AD27" s="1510"/>
      <c r="AE27" s="1510"/>
      <c r="AF27" s="1510"/>
      <c r="AG27" s="1510"/>
      <c r="AH27" s="1510"/>
      <c r="AI27" s="1510"/>
      <c r="AJ27" s="1510"/>
      <c r="AK27" s="151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09" t="s">
        <v>2323</v>
      </c>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
    </row>
    <row r="30" spans="1:38">
      <c r="A30" s="283"/>
      <c r="B30" s="1"/>
      <c r="C30" s="1"/>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
    </row>
    <row r="31" spans="1:38">
      <c r="A31" s="283"/>
      <c r="B31" s="1"/>
      <c r="C31" s="1"/>
      <c r="D31" s="1068"/>
      <c r="E31" s="1511" t="s">
        <v>1424</v>
      </c>
      <c r="F31" s="1511"/>
      <c r="G31" s="151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
    </row>
    <row r="32" spans="1:38">
      <c r="A32" s="283"/>
      <c r="B32" s="1"/>
      <c r="C32" s="1"/>
      <c r="D32" s="1068"/>
      <c r="E32" s="1511" t="s">
        <v>1266</v>
      </c>
      <c r="F32" s="1511"/>
      <c r="G32" s="1511"/>
      <c r="H32" s="1511"/>
      <c r="I32" s="1511"/>
      <c r="J32" s="1511"/>
      <c r="K32" s="1511"/>
      <c r="L32" s="15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08" t="s">
        <v>1904</v>
      </c>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
    </row>
    <row r="37" spans="1:38">
      <c r="A37" s="283"/>
      <c r="B37" s="1"/>
      <c r="C37" s="358"/>
      <c r="D37" s="283"/>
      <c r="E37" s="283"/>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
    </row>
    <row r="38" spans="1:38">
      <c r="A38" s="283"/>
      <c r="B38" s="1"/>
      <c r="C38" s="358"/>
      <c r="D38" s="283"/>
      <c r="E38" s="283"/>
      <c r="F38" s="1061"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1"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1"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08" t="s">
        <v>2135</v>
      </c>
      <c r="G42" s="1508"/>
      <c r="H42" s="1508"/>
      <c r="I42" s="1508"/>
      <c r="J42" s="1508"/>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1508"/>
      <c r="AJ42" s="1508"/>
      <c r="AK42" s="1508"/>
      <c r="AL42" s="1"/>
    </row>
    <row r="43" spans="1:38">
      <c r="A43" s="283"/>
      <c r="B43" s="1"/>
      <c r="C43" s="358"/>
      <c r="D43" s="283"/>
      <c r="E43" s="283"/>
      <c r="F43" s="1508"/>
      <c r="G43" s="1508"/>
      <c r="H43" s="1508"/>
      <c r="I43" s="1508"/>
      <c r="J43" s="1508"/>
      <c r="K43" s="1508"/>
      <c r="L43" s="1508"/>
      <c r="M43" s="1508"/>
      <c r="N43" s="1508"/>
      <c r="O43" s="1508"/>
      <c r="P43" s="1508"/>
      <c r="Q43" s="1508"/>
      <c r="R43" s="1508"/>
      <c r="S43" s="1508"/>
      <c r="T43" s="1508"/>
      <c r="U43" s="1508"/>
      <c r="V43" s="1508"/>
      <c r="W43" s="1508"/>
      <c r="X43" s="1508"/>
      <c r="Y43" s="1508"/>
      <c r="Z43" s="1508"/>
      <c r="AA43" s="1508"/>
      <c r="AB43" s="1508"/>
      <c r="AC43" s="1508"/>
      <c r="AD43" s="1508"/>
      <c r="AE43" s="1508"/>
      <c r="AF43" s="1508"/>
      <c r="AG43" s="1508"/>
      <c r="AH43" s="1508"/>
      <c r="AI43" s="1508"/>
      <c r="AJ43" s="1508"/>
      <c r="AK43" s="1508"/>
      <c r="AL43" s="1"/>
    </row>
    <row r="44" spans="1:38">
      <c r="A44" s="283"/>
      <c r="B44" s="1"/>
      <c r="C44" s="358"/>
      <c r="D44" s="283"/>
      <c r="E44" s="283"/>
      <c r="F44" s="1508"/>
      <c r="G44" s="1508"/>
      <c r="H44" s="1508"/>
      <c r="I44" s="1508"/>
      <c r="J44" s="1508"/>
      <c r="K44" s="1508"/>
      <c r="L44" s="1508"/>
      <c r="M44" s="1508"/>
      <c r="N44" s="1508"/>
      <c r="O44" s="1508"/>
      <c r="P44" s="1508"/>
      <c r="Q44" s="1508"/>
      <c r="R44" s="1508"/>
      <c r="S44" s="1508"/>
      <c r="T44" s="1508"/>
      <c r="U44" s="1508"/>
      <c r="V44" s="1508"/>
      <c r="W44" s="1508"/>
      <c r="X44" s="1508"/>
      <c r="Y44" s="1508"/>
      <c r="Z44" s="1508"/>
      <c r="AA44" s="1508"/>
      <c r="AB44" s="1508"/>
      <c r="AC44" s="1508"/>
      <c r="AD44" s="1508"/>
      <c r="AE44" s="1508"/>
      <c r="AF44" s="1508"/>
      <c r="AG44" s="1508"/>
      <c r="AH44" s="1508"/>
      <c r="AI44" s="1508"/>
      <c r="AJ44" s="1508"/>
      <c r="AK44" s="150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c r="A47" s="283"/>
      <c r="B47" s="1"/>
      <c r="C47" s="358"/>
      <c r="D47" s="358"/>
      <c r="E47" s="283" t="s">
        <v>903</v>
      </c>
      <c r="F47" s="1" t="s">
        <v>838</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c r="A48" s="283"/>
      <c r="B48" s="1"/>
      <c r="C48" s="358"/>
      <c r="D48" s="358"/>
      <c r="E48" s="283"/>
      <c r="F48" s="517" t="s">
        <v>641</v>
      </c>
      <c r="G48" s="1523" t="s">
        <v>2137</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c r="A49" s="283"/>
      <c r="B49" s="1"/>
      <c r="C49" s="358"/>
      <c r="D49" s="358"/>
      <c r="E49" s="283"/>
      <c r="F49" s="517"/>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c r="A50" s="283"/>
      <c r="B50" s="1"/>
      <c r="C50" s="358"/>
      <c r="D50" s="358"/>
      <c r="E50" s="283"/>
      <c r="F50" s="517"/>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c r="A51" s="283"/>
      <c r="B51" s="358"/>
      <c r="C51" s="358"/>
      <c r="D51" s="358"/>
      <c r="E51" s="283"/>
      <c r="F51" s="517" t="s">
        <v>214</v>
      </c>
      <c r="G51" s="1524" t="s">
        <v>1905</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c r="A52" s="283"/>
      <c r="B52" s="1"/>
      <c r="C52" s="358"/>
      <c r="D52" s="358"/>
      <c r="E52" s="283"/>
      <c r="F52" s="517"/>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c r="A53" s="288"/>
      <c r="B53" s="272"/>
      <c r="C53" s="359"/>
      <c r="D53" s="359"/>
      <c r="E53" s="288"/>
      <c r="F53" s="1070"/>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08" t="s">
        <v>1908</v>
      </c>
      <c r="H58" s="1508"/>
      <c r="I58" s="1508"/>
      <c r="J58" s="1508"/>
      <c r="K58" s="1508"/>
      <c r="L58" s="1508"/>
      <c r="M58" s="1508"/>
      <c r="N58" s="1508"/>
      <c r="O58" s="1508"/>
      <c r="P58" s="1508"/>
      <c r="Q58" s="1508"/>
      <c r="R58" s="1508"/>
      <c r="S58" s="1508"/>
      <c r="T58" s="1508"/>
      <c r="U58" s="1508"/>
      <c r="V58" s="1508"/>
      <c r="W58" s="1508"/>
      <c r="X58" s="1508"/>
      <c r="Y58" s="1508"/>
      <c r="Z58" s="1508"/>
      <c r="AA58" s="1508"/>
      <c r="AB58" s="1508"/>
      <c r="AC58" s="1508"/>
      <c r="AD58" s="1508"/>
      <c r="AE58" s="1508"/>
      <c r="AF58" s="1508"/>
      <c r="AG58" s="1508"/>
      <c r="AH58" s="1508"/>
      <c r="AI58" s="1508"/>
      <c r="AJ58" s="1508"/>
      <c r="AK58" s="1508"/>
      <c r="AL58" s="1"/>
    </row>
    <row r="59" spans="1:38">
      <c r="A59" s="283"/>
      <c r="B59" s="1"/>
      <c r="C59" s="358"/>
      <c r="D59" s="283"/>
      <c r="E59" s="283"/>
      <c r="F59" s="426"/>
      <c r="G59" s="1508"/>
      <c r="H59" s="1508"/>
      <c r="I59" s="1508"/>
      <c r="J59" s="1508"/>
      <c r="K59" s="1508"/>
      <c r="L59" s="1508"/>
      <c r="M59" s="1508"/>
      <c r="N59" s="1508"/>
      <c r="O59" s="1508"/>
      <c r="P59" s="1508"/>
      <c r="Q59" s="1508"/>
      <c r="R59" s="1508"/>
      <c r="S59" s="1508"/>
      <c r="T59" s="1508"/>
      <c r="U59" s="1508"/>
      <c r="V59" s="1508"/>
      <c r="W59" s="1508"/>
      <c r="X59" s="1508"/>
      <c r="Y59" s="1508"/>
      <c r="Z59" s="1508"/>
      <c r="AA59" s="1508"/>
      <c r="AB59" s="1508"/>
      <c r="AC59" s="1508"/>
      <c r="AD59" s="1508"/>
      <c r="AE59" s="1508"/>
      <c r="AF59" s="1508"/>
      <c r="AG59" s="1508"/>
      <c r="AH59" s="1508"/>
      <c r="AI59" s="1508"/>
      <c r="AJ59" s="1508"/>
      <c r="AK59" s="1508"/>
      <c r="AL59" s="1"/>
    </row>
    <row r="60" spans="1:38">
      <c r="A60" s="283"/>
      <c r="B60" s="1"/>
      <c r="C60" s="358"/>
      <c r="D60" s="283"/>
      <c r="E60" s="283"/>
      <c r="F60" s="426"/>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
    </row>
    <row r="61" spans="1:38">
      <c r="A61" s="283"/>
      <c r="B61" s="1"/>
      <c r="C61" s="358"/>
      <c r="D61" s="283"/>
      <c r="E61" s="283"/>
      <c r="F61" s="426" t="s">
        <v>214</v>
      </c>
      <c r="G61" s="1508" t="s">
        <v>1907</v>
      </c>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
    </row>
    <row r="62" spans="1:38">
      <c r="A62" s="283"/>
      <c r="B62" s="1"/>
      <c r="C62" s="358"/>
      <c r="D62" s="283"/>
      <c r="E62" s="283"/>
      <c r="F62" s="426"/>
      <c r="G62" s="1508"/>
      <c r="H62" s="1508"/>
      <c r="I62" s="1508"/>
      <c r="J62" s="1508"/>
      <c r="K62" s="1508"/>
      <c r="L62" s="1508"/>
      <c r="M62" s="1508"/>
      <c r="N62" s="1508"/>
      <c r="O62" s="1508"/>
      <c r="P62" s="1508"/>
      <c r="Q62" s="1508"/>
      <c r="R62" s="1508"/>
      <c r="S62" s="1508"/>
      <c r="T62" s="1508"/>
      <c r="U62" s="1508"/>
      <c r="V62" s="1508"/>
      <c r="W62" s="1508"/>
      <c r="X62" s="1508"/>
      <c r="Y62" s="1508"/>
      <c r="Z62" s="1508"/>
      <c r="AA62" s="1508"/>
      <c r="AB62" s="1508"/>
      <c r="AC62" s="1508"/>
      <c r="AD62" s="1508"/>
      <c r="AE62" s="1508"/>
      <c r="AF62" s="1508"/>
      <c r="AG62" s="1508"/>
      <c r="AH62" s="1508"/>
      <c r="AI62" s="1508"/>
      <c r="AJ62" s="1508"/>
      <c r="AK62" s="1508"/>
      <c r="AL62" s="1"/>
    </row>
    <row r="63" spans="1:38">
      <c r="A63" s="283"/>
      <c r="B63" s="1"/>
      <c r="C63" s="358"/>
      <c r="D63" s="283"/>
      <c r="E63" s="283"/>
      <c r="F63" s="1071"/>
      <c r="G63" s="1508"/>
      <c r="H63" s="1508"/>
      <c r="I63" s="1508"/>
      <c r="J63" s="1508"/>
      <c r="K63" s="1508"/>
      <c r="L63" s="1508"/>
      <c r="M63" s="1508"/>
      <c r="N63" s="1508"/>
      <c r="O63" s="1508"/>
      <c r="P63" s="1508"/>
      <c r="Q63" s="1508"/>
      <c r="R63" s="1508"/>
      <c r="S63" s="1508"/>
      <c r="T63" s="1508"/>
      <c r="U63" s="1508"/>
      <c r="V63" s="1508"/>
      <c r="W63" s="1508"/>
      <c r="X63" s="1508"/>
      <c r="Y63" s="1508"/>
      <c r="Z63" s="1508"/>
      <c r="AA63" s="1508"/>
      <c r="AB63" s="1508"/>
      <c r="AC63" s="1508"/>
      <c r="AD63" s="1508"/>
      <c r="AE63" s="1508"/>
      <c r="AF63" s="1508"/>
      <c r="AG63" s="1508"/>
      <c r="AH63" s="1508"/>
      <c r="AI63" s="1508"/>
      <c r="AJ63" s="1508"/>
      <c r="AK63" s="150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08" t="s">
        <v>1909</v>
      </c>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
    </row>
    <row r="66" spans="1:38">
      <c r="A66" s="283"/>
      <c r="B66" s="1"/>
      <c r="C66" s="358"/>
      <c r="D66" s="283"/>
      <c r="E66" s="283"/>
      <c r="F66" s="517"/>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
    </row>
    <row r="67" spans="1:38">
      <c r="A67" s="283"/>
      <c r="B67" s="1"/>
      <c r="C67" s="358"/>
      <c r="D67" s="283"/>
      <c r="E67" s="283"/>
      <c r="F67" s="517" t="s">
        <v>214</v>
      </c>
      <c r="G67" s="1508" t="s">
        <v>1910</v>
      </c>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
    </row>
    <row r="68" spans="1:38">
      <c r="A68" s="283"/>
      <c r="B68" s="1"/>
      <c r="C68" s="358"/>
      <c r="D68" s="283"/>
      <c r="E68" s="283"/>
      <c r="F68" s="517"/>
      <c r="G68" s="1508"/>
      <c r="H68" s="1508"/>
      <c r="I68" s="1508"/>
      <c r="J68" s="1508"/>
      <c r="K68" s="1508"/>
      <c r="L68" s="1508"/>
      <c r="M68" s="1508"/>
      <c r="N68" s="1508"/>
      <c r="O68" s="1508"/>
      <c r="P68" s="1508"/>
      <c r="Q68" s="1508"/>
      <c r="R68" s="1508"/>
      <c r="S68" s="1508"/>
      <c r="T68" s="1508"/>
      <c r="U68" s="1508"/>
      <c r="V68" s="1508"/>
      <c r="W68" s="1508"/>
      <c r="X68" s="1508"/>
      <c r="Y68" s="1508"/>
      <c r="Z68" s="1508"/>
      <c r="AA68" s="1508"/>
      <c r="AB68" s="1508"/>
      <c r="AC68" s="1508"/>
      <c r="AD68" s="1508"/>
      <c r="AE68" s="1508"/>
      <c r="AF68" s="1508"/>
      <c r="AG68" s="1508"/>
      <c r="AH68" s="1508"/>
      <c r="AI68" s="1508"/>
      <c r="AJ68" s="1508"/>
      <c r="AK68" s="1508"/>
      <c r="AL68" s="1"/>
    </row>
    <row r="69" spans="1:38">
      <c r="A69" s="283"/>
      <c r="B69" s="1"/>
      <c r="C69" s="358"/>
      <c r="D69" s="283"/>
      <c r="E69" s="283"/>
      <c r="F69" s="517"/>
      <c r="G69" s="1065" t="s">
        <v>520</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5" t="s">
        <v>1164</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08" t="s">
        <v>1925</v>
      </c>
      <c r="H75" s="1508"/>
      <c r="I75" s="1508"/>
      <c r="J75" s="1508"/>
      <c r="K75" s="1508"/>
      <c r="L75" s="1508"/>
      <c r="M75" s="1508"/>
      <c r="N75" s="1508"/>
      <c r="O75" s="1508"/>
      <c r="P75" s="1508"/>
      <c r="Q75" s="1508"/>
      <c r="R75" s="1508"/>
      <c r="S75" s="1508"/>
      <c r="T75" s="1508"/>
      <c r="U75" s="1508"/>
      <c r="V75" s="1508"/>
      <c r="W75" s="1508"/>
      <c r="X75" s="1508"/>
      <c r="Y75" s="1508"/>
      <c r="Z75" s="1508"/>
      <c r="AA75" s="1508"/>
      <c r="AB75" s="1508"/>
      <c r="AC75" s="1508"/>
      <c r="AD75" s="1508"/>
      <c r="AE75" s="1508"/>
      <c r="AF75" s="1508"/>
      <c r="AG75" s="1508"/>
      <c r="AH75" s="1508"/>
      <c r="AI75" s="1508"/>
      <c r="AJ75" s="1508"/>
      <c r="AK75" s="1508"/>
      <c r="AL75" s="1"/>
    </row>
    <row r="76" spans="1:38">
      <c r="A76" s="283"/>
      <c r="B76" s="1"/>
      <c r="C76" s="358"/>
      <c r="D76" s="283"/>
      <c r="E76" s="283"/>
      <c r="F76" s="283"/>
      <c r="G76" s="1508"/>
      <c r="H76" s="1508"/>
      <c r="I76" s="1508"/>
      <c r="J76" s="1508"/>
      <c r="K76" s="1508"/>
      <c r="L76" s="1508"/>
      <c r="M76" s="1508"/>
      <c r="N76" s="1508"/>
      <c r="O76" s="1508"/>
      <c r="P76" s="1508"/>
      <c r="Q76" s="1508"/>
      <c r="R76" s="1508"/>
      <c r="S76" s="1508"/>
      <c r="T76" s="1508"/>
      <c r="U76" s="1508"/>
      <c r="V76" s="1508"/>
      <c r="W76" s="1508"/>
      <c r="X76" s="1508"/>
      <c r="Y76" s="1508"/>
      <c r="Z76" s="1508"/>
      <c r="AA76" s="1508"/>
      <c r="AB76" s="1508"/>
      <c r="AC76" s="1508"/>
      <c r="AD76" s="1508"/>
      <c r="AE76" s="1508"/>
      <c r="AF76" s="1508"/>
      <c r="AG76" s="1508"/>
      <c r="AH76" s="1508"/>
      <c r="AI76" s="1508"/>
      <c r="AJ76" s="1508"/>
      <c r="AK76" s="1508"/>
      <c r="AL76" s="1"/>
    </row>
    <row r="77" spans="1:38">
      <c r="A77" s="283"/>
      <c r="B77" s="1"/>
      <c r="C77" s="358"/>
      <c r="D77" s="283"/>
      <c r="E77" s="283"/>
      <c r="F77" s="283"/>
      <c r="G77" s="1508"/>
      <c r="H77" s="1508"/>
      <c r="I77" s="1508"/>
      <c r="J77" s="1508"/>
      <c r="K77" s="1508"/>
      <c r="L77" s="1508"/>
      <c r="M77" s="1508"/>
      <c r="N77" s="1508"/>
      <c r="O77" s="1508"/>
      <c r="P77" s="1508"/>
      <c r="Q77" s="1508"/>
      <c r="R77" s="1508"/>
      <c r="S77" s="1508"/>
      <c r="T77" s="1508"/>
      <c r="U77" s="1508"/>
      <c r="V77" s="1508"/>
      <c r="W77" s="1508"/>
      <c r="X77" s="1508"/>
      <c r="Y77" s="1508"/>
      <c r="Z77" s="1508"/>
      <c r="AA77" s="1508"/>
      <c r="AB77" s="1508"/>
      <c r="AC77" s="1508"/>
      <c r="AD77" s="1508"/>
      <c r="AE77" s="1508"/>
      <c r="AF77" s="1508"/>
      <c r="AG77" s="1508"/>
      <c r="AH77" s="1508"/>
      <c r="AI77" s="1508"/>
      <c r="AJ77" s="1508"/>
      <c r="AK77" s="150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08" t="s">
        <v>1926</v>
      </c>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
    </row>
    <row r="80" spans="1:38">
      <c r="A80" s="283"/>
      <c r="B80" s="1"/>
      <c r="C80" s="358"/>
      <c r="D80" s="283"/>
      <c r="E80" s="283"/>
      <c r="F80" s="283"/>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
    </row>
    <row r="81" spans="1:38">
      <c r="A81" s="283"/>
      <c r="B81" s="1"/>
      <c r="C81" s="358"/>
      <c r="D81" s="283"/>
      <c r="E81" s="283"/>
      <c r="F81" s="1"/>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8" t="s">
        <v>1911</v>
      </c>
      <c r="H83" s="1508"/>
      <c r="I83" s="1508"/>
      <c r="J83" s="1508"/>
      <c r="K83" s="1508"/>
      <c r="L83" s="1508"/>
      <c r="M83" s="1508"/>
      <c r="N83" s="1508"/>
      <c r="O83" s="1508"/>
      <c r="P83" s="1508"/>
      <c r="Q83" s="1508"/>
      <c r="R83" s="1508"/>
      <c r="S83" s="1508"/>
      <c r="T83" s="1508"/>
      <c r="U83" s="1508"/>
      <c r="V83" s="1508"/>
      <c r="W83" s="1508"/>
      <c r="X83" s="1508"/>
      <c r="Y83" s="1508"/>
      <c r="Z83" s="1508"/>
      <c r="AA83" s="1508"/>
      <c r="AB83" s="1508"/>
      <c r="AC83" s="1508"/>
      <c r="AD83" s="1508"/>
      <c r="AE83" s="1508"/>
      <c r="AF83" s="1508"/>
      <c r="AG83" s="1508"/>
      <c r="AH83" s="1508"/>
      <c r="AI83" s="1508"/>
      <c r="AJ83" s="1508"/>
      <c r="AK83" s="1508"/>
      <c r="AL83" s="1"/>
    </row>
    <row r="84" spans="1:38">
      <c r="A84" s="283"/>
      <c r="B84" s="1"/>
      <c r="C84" s="358"/>
      <c r="D84" s="283"/>
      <c r="E84" s="283"/>
      <c r="F84" s="1"/>
      <c r="G84" s="1508"/>
      <c r="H84" s="1508"/>
      <c r="I84" s="1508"/>
      <c r="J84" s="1508"/>
      <c r="K84" s="1508"/>
      <c r="L84" s="1508"/>
      <c r="M84" s="1508"/>
      <c r="N84" s="1508"/>
      <c r="O84" s="1508"/>
      <c r="P84" s="1508"/>
      <c r="Q84" s="1508"/>
      <c r="R84" s="1508"/>
      <c r="S84" s="1508"/>
      <c r="T84" s="1508"/>
      <c r="U84" s="1508"/>
      <c r="V84" s="1508"/>
      <c r="W84" s="1508"/>
      <c r="X84" s="1508"/>
      <c r="Y84" s="1508"/>
      <c r="Z84" s="1508"/>
      <c r="AA84" s="1508"/>
      <c r="AB84" s="1508"/>
      <c r="AC84" s="1508"/>
      <c r="AD84" s="1508"/>
      <c r="AE84" s="1508"/>
      <c r="AF84" s="1508"/>
      <c r="AG84" s="1508"/>
      <c r="AH84" s="1508"/>
      <c r="AI84" s="1508"/>
      <c r="AJ84" s="1508"/>
      <c r="AK84" s="150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08" t="s">
        <v>1912</v>
      </c>
      <c r="H86" s="1508"/>
      <c r="I86" s="1508"/>
      <c r="J86" s="1508"/>
      <c r="K86" s="1508"/>
      <c r="L86" s="1508"/>
      <c r="M86" s="1508"/>
      <c r="N86" s="1508"/>
      <c r="O86" s="1508"/>
      <c r="P86" s="1508"/>
      <c r="Q86" s="1508"/>
      <c r="R86" s="1508"/>
      <c r="S86" s="1508"/>
      <c r="T86" s="1508"/>
      <c r="U86" s="1508"/>
      <c r="V86" s="1508"/>
      <c r="W86" s="1508"/>
      <c r="X86" s="1508"/>
      <c r="Y86" s="1508"/>
      <c r="Z86" s="1508"/>
      <c r="AA86" s="1508"/>
      <c r="AB86" s="1508"/>
      <c r="AC86" s="1508"/>
      <c r="AD86" s="1508"/>
      <c r="AE86" s="1508"/>
      <c r="AF86" s="1508"/>
      <c r="AG86" s="1508"/>
      <c r="AH86" s="1508"/>
      <c r="AI86" s="1508"/>
      <c r="AJ86" s="1508"/>
      <c r="AK86" s="1508"/>
      <c r="AL86" s="1"/>
    </row>
    <row r="87" spans="1:38">
      <c r="A87" s="283"/>
      <c r="B87" s="1"/>
      <c r="C87" s="358"/>
      <c r="D87" s="283"/>
      <c r="E87" s="283"/>
      <c r="F87" s="1"/>
      <c r="G87" s="1508"/>
      <c r="H87" s="1508"/>
      <c r="I87" s="1508"/>
      <c r="J87" s="1508"/>
      <c r="K87" s="1508"/>
      <c r="L87" s="1508"/>
      <c r="M87" s="1508"/>
      <c r="N87" s="1508"/>
      <c r="O87" s="1508"/>
      <c r="P87" s="1508"/>
      <c r="Q87" s="1508"/>
      <c r="R87" s="1508"/>
      <c r="S87" s="1508"/>
      <c r="T87" s="1508"/>
      <c r="U87" s="1508"/>
      <c r="V87" s="1508"/>
      <c r="W87" s="1508"/>
      <c r="X87" s="1508"/>
      <c r="Y87" s="1508"/>
      <c r="Z87" s="1508"/>
      <c r="AA87" s="1508"/>
      <c r="AB87" s="1508"/>
      <c r="AC87" s="1508"/>
      <c r="AD87" s="1508"/>
      <c r="AE87" s="1508"/>
      <c r="AF87" s="1508"/>
      <c r="AG87" s="1508"/>
      <c r="AH87" s="1508"/>
      <c r="AI87" s="1508"/>
      <c r="AJ87" s="1508"/>
      <c r="AK87" s="150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08" t="s">
        <v>1918</v>
      </c>
      <c r="H89" s="1508"/>
      <c r="I89" s="1508"/>
      <c r="J89" s="1508"/>
      <c r="K89" s="1508"/>
      <c r="L89" s="1508"/>
      <c r="M89" s="1508"/>
      <c r="N89" s="1508"/>
      <c r="O89" s="1508"/>
      <c r="P89" s="1508"/>
      <c r="Q89" s="1508"/>
      <c r="R89" s="1508"/>
      <c r="S89" s="1508"/>
      <c r="T89" s="1508"/>
      <c r="U89" s="1508"/>
      <c r="V89" s="1508"/>
      <c r="W89" s="1508"/>
      <c r="X89" s="1508"/>
      <c r="Y89" s="1508"/>
      <c r="Z89" s="1508"/>
      <c r="AA89" s="1508"/>
      <c r="AB89" s="1508"/>
      <c r="AC89" s="1508"/>
      <c r="AD89" s="1508"/>
      <c r="AE89" s="1508"/>
      <c r="AF89" s="1508"/>
      <c r="AG89" s="1508"/>
      <c r="AH89" s="1508"/>
      <c r="AI89" s="1508"/>
      <c r="AJ89" s="1508"/>
      <c r="AK89" s="1508"/>
      <c r="AL89" s="1"/>
    </row>
    <row r="90" spans="1:38">
      <c r="A90" s="283"/>
      <c r="B90" s="1"/>
      <c r="C90" s="358"/>
      <c r="D90" s="283"/>
      <c r="E90" s="283"/>
      <c r="F90" s="283"/>
      <c r="G90" s="1508"/>
      <c r="H90" s="1508"/>
      <c r="I90" s="1508"/>
      <c r="J90" s="1508"/>
      <c r="K90" s="1508"/>
      <c r="L90" s="1508"/>
      <c r="M90" s="1508"/>
      <c r="N90" s="1508"/>
      <c r="O90" s="1508"/>
      <c r="P90" s="1508"/>
      <c r="Q90" s="1508"/>
      <c r="R90" s="1508"/>
      <c r="S90" s="1508"/>
      <c r="T90" s="1508"/>
      <c r="U90" s="1508"/>
      <c r="V90" s="1508"/>
      <c r="W90" s="1508"/>
      <c r="X90" s="1508"/>
      <c r="Y90" s="1508"/>
      <c r="Z90" s="1508"/>
      <c r="AA90" s="1508"/>
      <c r="AB90" s="1508"/>
      <c r="AC90" s="1508"/>
      <c r="AD90" s="1508"/>
      <c r="AE90" s="1508"/>
      <c r="AF90" s="1508"/>
      <c r="AG90" s="1508"/>
      <c r="AH90" s="1508"/>
      <c r="AI90" s="1508"/>
      <c r="AJ90" s="1508"/>
      <c r="AK90" s="1508"/>
      <c r="AL90" s="1"/>
    </row>
    <row r="91" spans="1:38">
      <c r="A91" s="283"/>
      <c r="B91" s="1"/>
      <c r="C91" s="358"/>
      <c r="D91" s="283"/>
      <c r="E91" s="283"/>
      <c r="F91" s="283"/>
      <c r="G91" s="1508"/>
      <c r="H91" s="1508"/>
      <c r="I91" s="1508"/>
      <c r="J91" s="1508"/>
      <c r="K91" s="1508"/>
      <c r="L91" s="1508"/>
      <c r="M91" s="1508"/>
      <c r="N91" s="1508"/>
      <c r="O91" s="1508"/>
      <c r="P91" s="1508"/>
      <c r="Q91" s="1508"/>
      <c r="R91" s="1508"/>
      <c r="S91" s="1508"/>
      <c r="T91" s="1508"/>
      <c r="U91" s="1508"/>
      <c r="V91" s="1508"/>
      <c r="W91" s="1508"/>
      <c r="X91" s="1508"/>
      <c r="Y91" s="1508"/>
      <c r="Z91" s="1508"/>
      <c r="AA91" s="1508"/>
      <c r="AB91" s="1508"/>
      <c r="AC91" s="1508"/>
      <c r="AD91" s="1508"/>
      <c r="AE91" s="1508"/>
      <c r="AF91" s="1508"/>
      <c r="AG91" s="1508"/>
      <c r="AH91" s="1508"/>
      <c r="AI91" s="1508"/>
      <c r="AJ91" s="1508"/>
      <c r="AK91" s="1508"/>
      <c r="AL91" s="1"/>
    </row>
    <row r="92" spans="1:38">
      <c r="A92" s="283"/>
      <c r="B92" s="1"/>
      <c r="C92" s="358"/>
      <c r="D92" s="283"/>
      <c r="E92" s="283"/>
      <c r="F92" s="283"/>
      <c r="G92" s="1508"/>
      <c r="H92" s="1508"/>
      <c r="I92" s="1508"/>
      <c r="J92" s="1508"/>
      <c r="K92" s="1508"/>
      <c r="L92" s="1508"/>
      <c r="M92" s="1508"/>
      <c r="N92" s="1508"/>
      <c r="O92" s="1508"/>
      <c r="P92" s="1508"/>
      <c r="Q92" s="1508"/>
      <c r="R92" s="1508"/>
      <c r="S92" s="1508"/>
      <c r="T92" s="1508"/>
      <c r="U92" s="1508"/>
      <c r="V92" s="1508"/>
      <c r="W92" s="1508"/>
      <c r="X92" s="1508"/>
      <c r="Y92" s="1508"/>
      <c r="Z92" s="1508"/>
      <c r="AA92" s="1508"/>
      <c r="AB92" s="1508"/>
      <c r="AC92" s="1508"/>
      <c r="AD92" s="1508"/>
      <c r="AE92" s="1508"/>
      <c r="AF92" s="1508"/>
      <c r="AG92" s="1508"/>
      <c r="AH92" s="1508"/>
      <c r="AI92" s="1508"/>
      <c r="AJ92" s="1508"/>
      <c r="AK92" s="1508"/>
      <c r="AL92" s="1"/>
    </row>
    <row r="93" spans="1:38">
      <c r="A93" s="1072"/>
      <c r="B93" s="1073"/>
      <c r="C93" s="1074"/>
      <c r="D93" s="1072"/>
      <c r="E93" s="1072" t="s">
        <v>1098</v>
      </c>
      <c r="F93" s="1073" t="s">
        <v>1165</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c r="A94" s="1072"/>
      <c r="B94" s="1073"/>
      <c r="C94" s="1074"/>
      <c r="D94" s="1072"/>
      <c r="E94" s="1072"/>
      <c r="F94" s="1073"/>
      <c r="G94" s="1522" t="s">
        <v>1919</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73"/>
    </row>
    <row r="95" spans="1:38">
      <c r="A95" s="1072"/>
      <c r="B95" s="1073"/>
      <c r="C95" s="1074"/>
      <c r="D95" s="1072"/>
      <c r="E95" s="1072"/>
      <c r="F95" s="1073"/>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73"/>
    </row>
    <row r="96" spans="1:38">
      <c r="A96" s="1072"/>
      <c r="B96" s="1073"/>
      <c r="C96" s="1074"/>
      <c r="D96" s="1072"/>
      <c r="E96" s="1072"/>
      <c r="F96" s="1073"/>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73"/>
    </row>
    <row r="97" spans="1:38">
      <c r="A97" s="1072"/>
      <c r="B97" s="1073"/>
      <c r="C97" s="1074"/>
      <c r="D97" s="1072"/>
      <c r="E97" s="1072"/>
      <c r="F97" s="1073"/>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73"/>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8" t="s">
        <v>1920</v>
      </c>
      <c r="H99" s="1508"/>
      <c r="I99" s="1508"/>
      <c r="J99" s="1508"/>
      <c r="K99" s="1508"/>
      <c r="L99" s="1508"/>
      <c r="M99" s="1508"/>
      <c r="N99" s="1508"/>
      <c r="O99" s="1508"/>
      <c r="P99" s="1508"/>
      <c r="Q99" s="1508"/>
      <c r="R99" s="1508"/>
      <c r="S99" s="1508"/>
      <c r="T99" s="1508"/>
      <c r="U99" s="1508"/>
      <c r="V99" s="1508"/>
      <c r="W99" s="1508"/>
      <c r="X99" s="1508"/>
      <c r="Y99" s="1508"/>
      <c r="Z99" s="1508"/>
      <c r="AA99" s="1508"/>
      <c r="AB99" s="1508"/>
      <c r="AC99" s="1508"/>
      <c r="AD99" s="1508"/>
      <c r="AE99" s="1508"/>
      <c r="AF99" s="1508"/>
      <c r="AG99" s="1508"/>
      <c r="AH99" s="1508"/>
      <c r="AI99" s="1508"/>
      <c r="AJ99" s="1508"/>
      <c r="AK99" s="1508"/>
      <c r="AL99" s="1"/>
    </row>
    <row r="100" spans="1:38">
      <c r="A100" s="283"/>
      <c r="B100" s="1"/>
      <c r="C100" s="358"/>
      <c r="D100" s="283"/>
      <c r="E100" s="283"/>
      <c r="F100" s="1"/>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8" t="s">
        <v>1921</v>
      </c>
      <c r="H102" s="1508"/>
      <c r="I102" s="1508"/>
      <c r="J102" s="1508"/>
      <c r="K102" s="1508"/>
      <c r="L102" s="1508"/>
      <c r="M102" s="1508"/>
      <c r="N102" s="1508"/>
      <c r="O102" s="1508"/>
      <c r="P102" s="1508"/>
      <c r="Q102" s="1508"/>
      <c r="R102" s="1508"/>
      <c r="S102" s="1508"/>
      <c r="T102" s="1508"/>
      <c r="U102" s="1508"/>
      <c r="V102" s="1508"/>
      <c r="W102" s="1508"/>
      <c r="X102" s="1508"/>
      <c r="Y102" s="1508"/>
      <c r="Z102" s="1508"/>
      <c r="AA102" s="1508"/>
      <c r="AB102" s="1508"/>
      <c r="AC102" s="1508"/>
      <c r="AD102" s="1508"/>
      <c r="AE102" s="1508"/>
      <c r="AF102" s="1508"/>
      <c r="AG102" s="1508"/>
      <c r="AH102" s="1508"/>
      <c r="AI102" s="1508"/>
      <c r="AJ102" s="1508"/>
      <c r="AK102" s="1508"/>
      <c r="AL102" s="1"/>
    </row>
    <row r="103" spans="1:38">
      <c r="A103" s="283"/>
      <c r="B103" s="1"/>
      <c r="C103" s="358"/>
      <c r="D103" s="283"/>
      <c r="E103" s="283"/>
      <c r="F103" s="1"/>
      <c r="G103" s="1508"/>
      <c r="H103" s="1508"/>
      <c r="I103" s="1508"/>
      <c r="J103" s="1508"/>
      <c r="K103" s="1508"/>
      <c r="L103" s="1508"/>
      <c r="M103" s="1508"/>
      <c r="N103" s="1508"/>
      <c r="O103" s="1508"/>
      <c r="P103" s="1508"/>
      <c r="Q103" s="1508"/>
      <c r="R103" s="1508"/>
      <c r="S103" s="1508"/>
      <c r="T103" s="1508"/>
      <c r="U103" s="1508"/>
      <c r="V103" s="1508"/>
      <c r="W103" s="1508"/>
      <c r="X103" s="1508"/>
      <c r="Y103" s="1508"/>
      <c r="Z103" s="1508"/>
      <c r="AA103" s="1508"/>
      <c r="AB103" s="1508"/>
      <c r="AC103" s="1508"/>
      <c r="AD103" s="1508"/>
      <c r="AE103" s="1508"/>
      <c r="AF103" s="1508"/>
      <c r="AG103" s="1508"/>
      <c r="AH103" s="1508"/>
      <c r="AI103" s="1508"/>
      <c r="AJ103" s="1508"/>
      <c r="AK103" s="150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8" t="s">
        <v>1922</v>
      </c>
      <c r="H105" s="1508"/>
      <c r="I105" s="1508"/>
      <c r="J105" s="1508"/>
      <c r="K105" s="1508"/>
      <c r="L105" s="1508"/>
      <c r="M105" s="1508"/>
      <c r="N105" s="1508"/>
      <c r="O105" s="1508"/>
      <c r="P105" s="1508"/>
      <c r="Q105" s="1508"/>
      <c r="R105" s="1508"/>
      <c r="S105" s="1508"/>
      <c r="T105" s="1508"/>
      <c r="U105" s="1508"/>
      <c r="V105" s="1508"/>
      <c r="W105" s="1508"/>
      <c r="X105" s="1508"/>
      <c r="Y105" s="1508"/>
      <c r="Z105" s="1508"/>
      <c r="AA105" s="1508"/>
      <c r="AB105" s="1508"/>
      <c r="AC105" s="1508"/>
      <c r="AD105" s="1508"/>
      <c r="AE105" s="1508"/>
      <c r="AF105" s="1508"/>
      <c r="AG105" s="1508"/>
      <c r="AH105" s="1508"/>
      <c r="AI105" s="1508"/>
      <c r="AJ105" s="1508"/>
      <c r="AK105" s="1508"/>
      <c r="AL105" s="1"/>
    </row>
    <row r="106" spans="1:38">
      <c r="A106" s="288"/>
      <c r="B106" s="272"/>
      <c r="C106" s="359"/>
      <c r="D106" s="288"/>
      <c r="E106" s="288"/>
      <c r="F106" s="288"/>
      <c r="G106" s="1508"/>
      <c r="H106" s="1508"/>
      <c r="I106" s="1508"/>
      <c r="J106" s="1508"/>
      <c r="K106" s="1508"/>
      <c r="L106" s="1508"/>
      <c r="M106" s="1508"/>
      <c r="N106" s="1508"/>
      <c r="O106" s="1508"/>
      <c r="P106" s="1508"/>
      <c r="Q106" s="1508"/>
      <c r="R106" s="1508"/>
      <c r="S106" s="1508"/>
      <c r="T106" s="1508"/>
      <c r="U106" s="1508"/>
      <c r="V106" s="1508"/>
      <c r="W106" s="1508"/>
      <c r="X106" s="1508"/>
      <c r="Y106" s="1508"/>
      <c r="Z106" s="1508"/>
      <c r="AA106" s="1508"/>
      <c r="AB106" s="1508"/>
      <c r="AC106" s="1508"/>
      <c r="AD106" s="1508"/>
      <c r="AE106" s="1508"/>
      <c r="AF106" s="1508"/>
      <c r="AG106" s="1508"/>
      <c r="AH106" s="1508"/>
      <c r="AI106" s="1508"/>
      <c r="AJ106" s="1508"/>
      <c r="AK106" s="1508"/>
      <c r="AL106" s="272"/>
    </row>
    <row r="107" spans="1:38">
      <c r="A107" s="288"/>
      <c r="B107" s="272"/>
      <c r="C107" s="359"/>
      <c r="D107" s="359"/>
      <c r="E107" s="288"/>
      <c r="F107" s="288"/>
      <c r="G107" s="1508"/>
      <c r="H107" s="1508"/>
      <c r="I107" s="1508"/>
      <c r="J107" s="1508"/>
      <c r="K107" s="1508"/>
      <c r="L107" s="1508"/>
      <c r="M107" s="1508"/>
      <c r="N107" s="1508"/>
      <c r="O107" s="1508"/>
      <c r="P107" s="1508"/>
      <c r="Q107" s="1508"/>
      <c r="R107" s="1508"/>
      <c r="S107" s="1508"/>
      <c r="T107" s="1508"/>
      <c r="U107" s="1508"/>
      <c r="V107" s="1508"/>
      <c r="W107" s="1508"/>
      <c r="X107" s="1508"/>
      <c r="Y107" s="1508"/>
      <c r="Z107" s="1508"/>
      <c r="AA107" s="1508"/>
      <c r="AB107" s="1508"/>
      <c r="AC107" s="1508"/>
      <c r="AD107" s="1508"/>
      <c r="AE107" s="1508"/>
      <c r="AF107" s="1508"/>
      <c r="AG107" s="1508"/>
      <c r="AH107" s="1508"/>
      <c r="AI107" s="1508"/>
      <c r="AJ107" s="1508"/>
      <c r="AK107" s="150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8" t="s">
        <v>1923</v>
      </c>
      <c r="H109" s="1508"/>
      <c r="I109" s="1508"/>
      <c r="J109" s="1508"/>
      <c r="K109" s="1508"/>
      <c r="L109" s="1508"/>
      <c r="M109" s="1508"/>
      <c r="N109" s="1508"/>
      <c r="O109" s="1508"/>
      <c r="P109" s="1508"/>
      <c r="Q109" s="1508"/>
      <c r="R109" s="1508"/>
      <c r="S109" s="1508"/>
      <c r="T109" s="1508"/>
      <c r="U109" s="1508"/>
      <c r="V109" s="1508"/>
      <c r="W109" s="1508"/>
      <c r="X109" s="1508"/>
      <c r="Y109" s="1508"/>
      <c r="Z109" s="1508"/>
      <c r="AA109" s="1508"/>
      <c r="AB109" s="1508"/>
      <c r="AC109" s="1508"/>
      <c r="AD109" s="1508"/>
      <c r="AE109" s="1508"/>
      <c r="AF109" s="1508"/>
      <c r="AG109" s="1508"/>
      <c r="AH109" s="1508"/>
      <c r="AI109" s="1508"/>
      <c r="AJ109" s="1508"/>
      <c r="AK109" s="1508"/>
      <c r="AL109" s="1"/>
    </row>
    <row r="110" spans="1:38">
      <c r="A110" s="283"/>
      <c r="B110" s="1"/>
      <c r="C110" s="358"/>
      <c r="D110" s="358"/>
      <c r="E110" s="283"/>
      <c r="F110" s="283"/>
      <c r="G110" s="1508"/>
      <c r="H110" s="1508"/>
      <c r="I110" s="1508"/>
      <c r="J110" s="1508"/>
      <c r="K110" s="1508"/>
      <c r="L110" s="1508"/>
      <c r="M110" s="1508"/>
      <c r="N110" s="1508"/>
      <c r="O110" s="1508"/>
      <c r="P110" s="1508"/>
      <c r="Q110" s="1508"/>
      <c r="R110" s="1508"/>
      <c r="S110" s="1508"/>
      <c r="T110" s="1508"/>
      <c r="U110" s="1508"/>
      <c r="V110" s="1508"/>
      <c r="W110" s="1508"/>
      <c r="X110" s="1508"/>
      <c r="Y110" s="1508"/>
      <c r="Z110" s="1508"/>
      <c r="AA110" s="1508"/>
      <c r="AB110" s="1508"/>
      <c r="AC110" s="1508"/>
      <c r="AD110" s="1508"/>
      <c r="AE110" s="1508"/>
      <c r="AF110" s="1508"/>
      <c r="AG110" s="1508"/>
      <c r="AH110" s="1508"/>
      <c r="AI110" s="1508"/>
      <c r="AJ110" s="1508"/>
      <c r="AK110" s="150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16" t="s">
        <v>1924</v>
      </c>
      <c r="F112" s="1516"/>
      <c r="G112" s="1516"/>
      <c r="H112" s="1516"/>
      <c r="I112" s="1516"/>
      <c r="J112" s="1516"/>
      <c r="K112" s="1516"/>
      <c r="L112" s="1516"/>
      <c r="M112" s="1516"/>
      <c r="N112" s="1516"/>
      <c r="O112" s="1516"/>
      <c r="P112" s="1516"/>
      <c r="Q112" s="1516"/>
      <c r="R112" s="1516"/>
      <c r="S112" s="1516"/>
      <c r="T112" s="1516"/>
      <c r="U112" s="1516"/>
      <c r="V112" s="1516"/>
      <c r="W112" s="1516"/>
      <c r="X112" s="1516"/>
      <c r="Y112" s="1516"/>
      <c r="Z112" s="1516"/>
      <c r="AA112" s="1516"/>
      <c r="AB112" s="1516"/>
      <c r="AC112" s="1516"/>
      <c r="AD112" s="1516"/>
      <c r="AE112" s="1516"/>
      <c r="AF112" s="1516"/>
      <c r="AG112" s="1516"/>
      <c r="AH112" s="1516"/>
      <c r="AI112" s="1516"/>
      <c r="AJ112" s="1516"/>
      <c r="AK112" s="1516"/>
      <c r="AL112" s="1"/>
    </row>
    <row r="113" spans="1:38">
      <c r="A113" s="283"/>
      <c r="B113" s="1"/>
      <c r="C113" s="1"/>
      <c r="D113" s="1075"/>
      <c r="E113" s="1516"/>
      <c r="F113" s="1516"/>
      <c r="G113" s="1516"/>
      <c r="H113" s="1516"/>
      <c r="I113" s="1516"/>
      <c r="J113" s="1516"/>
      <c r="K113" s="1516"/>
      <c r="L113" s="1516"/>
      <c r="M113" s="1516"/>
      <c r="N113" s="1516"/>
      <c r="O113" s="1516"/>
      <c r="P113" s="1516"/>
      <c r="Q113" s="1516"/>
      <c r="R113" s="1516"/>
      <c r="S113" s="1516"/>
      <c r="T113" s="1516"/>
      <c r="U113" s="1516"/>
      <c r="V113" s="1516"/>
      <c r="W113" s="1516"/>
      <c r="X113" s="1516"/>
      <c r="Y113" s="1516"/>
      <c r="Z113" s="1516"/>
      <c r="AA113" s="1516"/>
      <c r="AB113" s="1516"/>
      <c r="AC113" s="1516"/>
      <c r="AD113" s="1516"/>
      <c r="AE113" s="1516"/>
      <c r="AF113" s="1516"/>
      <c r="AG113" s="1516"/>
      <c r="AH113" s="1516"/>
      <c r="AI113" s="1516"/>
      <c r="AJ113" s="1516"/>
      <c r="AK113" s="1516"/>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4" t="s">
        <v>513</v>
      </c>
      <c r="C115" s="1064" t="s">
        <v>752</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7"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7"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7"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7"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2139</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7"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8"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8" t="s">
        <v>1927</v>
      </c>
      <c r="F145" s="1508"/>
      <c r="G145" s="1508"/>
      <c r="H145" s="1508"/>
      <c r="I145" s="1508"/>
      <c r="J145" s="1508"/>
      <c r="K145" s="1508"/>
      <c r="L145" s="1508"/>
      <c r="M145" s="1508"/>
      <c r="N145" s="1508"/>
      <c r="O145" s="1508"/>
      <c r="P145" s="1508"/>
      <c r="Q145" s="1508"/>
      <c r="R145" s="1508"/>
      <c r="S145" s="1508"/>
      <c r="T145" s="1508"/>
      <c r="U145" s="1508"/>
      <c r="V145" s="1508"/>
      <c r="W145" s="1508"/>
      <c r="X145" s="1508"/>
      <c r="Y145" s="1508"/>
      <c r="Z145" s="1508"/>
      <c r="AA145" s="1508"/>
      <c r="AB145" s="1508"/>
      <c r="AC145" s="1508"/>
      <c r="AD145" s="1508"/>
      <c r="AE145" s="1508"/>
      <c r="AF145" s="1508"/>
      <c r="AG145" s="1508"/>
      <c r="AH145" s="1508"/>
      <c r="AI145" s="1508"/>
      <c r="AJ145" s="1508"/>
      <c r="AK145" s="1508"/>
      <c r="AL145" s="1"/>
    </row>
    <row r="146" spans="1:38">
      <c r="A146" s="1"/>
      <c r="B146" s="1"/>
      <c r="C146" s="1"/>
      <c r="D146" s="1"/>
      <c r="E146" s="1508"/>
      <c r="F146" s="1508"/>
      <c r="G146" s="1508"/>
      <c r="H146" s="1508"/>
      <c r="I146" s="1508"/>
      <c r="J146" s="1508"/>
      <c r="K146" s="1508"/>
      <c r="L146" s="1508"/>
      <c r="M146" s="1508"/>
      <c r="N146" s="1508"/>
      <c r="O146" s="1508"/>
      <c r="P146" s="1508"/>
      <c r="Q146" s="1508"/>
      <c r="R146" s="1508"/>
      <c r="S146" s="1508"/>
      <c r="T146" s="1508"/>
      <c r="U146" s="1508"/>
      <c r="V146" s="1508"/>
      <c r="W146" s="1508"/>
      <c r="X146" s="1508"/>
      <c r="Y146" s="1508"/>
      <c r="Z146" s="1508"/>
      <c r="AA146" s="1508"/>
      <c r="AB146" s="1508"/>
      <c r="AC146" s="1508"/>
      <c r="AD146" s="1508"/>
      <c r="AE146" s="1508"/>
      <c r="AF146" s="1508"/>
      <c r="AG146" s="1508"/>
      <c r="AH146" s="1508"/>
      <c r="AI146" s="1508"/>
      <c r="AJ146" s="1508"/>
      <c r="AK146" s="150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8" t="s">
        <v>1928</v>
      </c>
      <c r="H158" s="1508"/>
      <c r="I158" s="1508"/>
      <c r="J158" s="1508"/>
      <c r="K158" s="1508"/>
      <c r="L158" s="1508"/>
      <c r="M158" s="1508"/>
      <c r="N158" s="1508"/>
      <c r="O158" s="1508"/>
      <c r="P158" s="1508"/>
      <c r="Q158" s="1508"/>
      <c r="R158" s="1508"/>
      <c r="S158" s="1508"/>
      <c r="T158" s="1508"/>
      <c r="U158" s="1508"/>
      <c r="V158" s="1508"/>
      <c r="W158" s="1508"/>
      <c r="X158" s="1508"/>
      <c r="Y158" s="1508"/>
      <c r="Z158" s="1508"/>
      <c r="AA158" s="1508"/>
      <c r="AB158" s="1508"/>
      <c r="AC158" s="1508"/>
      <c r="AD158" s="1508"/>
      <c r="AE158" s="1508"/>
      <c r="AF158" s="1508"/>
      <c r="AG158" s="1508"/>
      <c r="AH158" s="1508"/>
      <c r="AI158" s="1508"/>
      <c r="AJ158" s="1508"/>
      <c r="AK158" s="1508"/>
      <c r="AL158" s="1"/>
    </row>
    <row r="159" spans="1:38">
      <c r="A159" s="1"/>
      <c r="B159" s="1"/>
      <c r="C159" s="1"/>
      <c r="D159" s="1"/>
      <c r="E159" s="1"/>
      <c r="F159" s="1"/>
      <c r="G159" s="1508"/>
      <c r="H159" s="1508"/>
      <c r="I159" s="1508"/>
      <c r="J159" s="1508"/>
      <c r="K159" s="1508"/>
      <c r="L159" s="1508"/>
      <c r="M159" s="1508"/>
      <c r="N159" s="1508"/>
      <c r="O159" s="1508"/>
      <c r="P159" s="1508"/>
      <c r="Q159" s="1508"/>
      <c r="R159" s="1508"/>
      <c r="S159" s="1508"/>
      <c r="T159" s="1508"/>
      <c r="U159" s="1508"/>
      <c r="V159" s="1508"/>
      <c r="W159" s="1508"/>
      <c r="X159" s="1508"/>
      <c r="Y159" s="1508"/>
      <c r="Z159" s="1508"/>
      <c r="AA159" s="1508"/>
      <c r="AB159" s="1508"/>
      <c r="AC159" s="1508"/>
      <c r="AD159" s="1508"/>
      <c r="AE159" s="1508"/>
      <c r="AF159" s="1508"/>
      <c r="AG159" s="1508"/>
      <c r="AH159" s="1508"/>
      <c r="AI159" s="1508"/>
      <c r="AJ159" s="1508"/>
      <c r="AK159" s="150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6" t="s">
        <v>2195</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5"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1167</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2"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5" t="s">
        <v>1788</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2"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08" t="s">
        <v>1929</v>
      </c>
      <c r="H222" s="1508"/>
      <c r="I222" s="1508"/>
      <c r="J222" s="1508"/>
      <c r="K222" s="1508"/>
      <c r="L222" s="1508"/>
      <c r="M222" s="1508"/>
      <c r="N222" s="1508"/>
      <c r="O222" s="1508"/>
      <c r="P222" s="1508"/>
      <c r="Q222" s="1508"/>
      <c r="R222" s="1508"/>
      <c r="S222" s="1508"/>
      <c r="T222" s="1508"/>
      <c r="U222" s="1508"/>
      <c r="V222" s="1508"/>
      <c r="W222" s="1508"/>
      <c r="X222" s="1508"/>
      <c r="Y222" s="1508"/>
      <c r="Z222" s="1508"/>
      <c r="AA222" s="1508"/>
      <c r="AB222" s="1508"/>
      <c r="AC222" s="1508"/>
      <c r="AD222" s="1508"/>
      <c r="AE222" s="1508"/>
      <c r="AF222" s="1508"/>
      <c r="AG222" s="1508"/>
      <c r="AH222" s="1508"/>
      <c r="AI222" s="1508"/>
      <c r="AJ222" s="1508"/>
      <c r="AK222" s="1508"/>
      <c r="AL222" s="1"/>
    </row>
    <row r="223" spans="1:38">
      <c r="A223" s="1"/>
      <c r="B223" s="283"/>
      <c r="C223" s="283"/>
      <c r="D223" s="358"/>
      <c r="E223" s="1"/>
      <c r="F223" s="1"/>
      <c r="G223" s="1508"/>
      <c r="H223" s="1508"/>
      <c r="I223" s="1508"/>
      <c r="J223" s="1508"/>
      <c r="K223" s="1508"/>
      <c r="L223" s="1508"/>
      <c r="M223" s="1508"/>
      <c r="N223" s="1508"/>
      <c r="O223" s="1508"/>
      <c r="P223" s="1508"/>
      <c r="Q223" s="1508"/>
      <c r="R223" s="1508"/>
      <c r="S223" s="1508"/>
      <c r="T223" s="1508"/>
      <c r="U223" s="1508"/>
      <c r="V223" s="1508"/>
      <c r="W223" s="1508"/>
      <c r="X223" s="1508"/>
      <c r="Y223" s="1508"/>
      <c r="Z223" s="1508"/>
      <c r="AA223" s="1508"/>
      <c r="AB223" s="1508"/>
      <c r="AC223" s="1508"/>
      <c r="AD223" s="1508"/>
      <c r="AE223" s="1508"/>
      <c r="AF223" s="1508"/>
      <c r="AG223" s="1508"/>
      <c r="AH223" s="1508"/>
      <c r="AI223" s="1508"/>
      <c r="AJ223" s="1508"/>
      <c r="AK223" s="150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08" t="s">
        <v>1930</v>
      </c>
      <c r="H233" s="1508"/>
      <c r="I233" s="1508"/>
      <c r="J233" s="1508"/>
      <c r="K233" s="1508"/>
      <c r="L233" s="1508"/>
      <c r="M233" s="1508"/>
      <c r="N233" s="1508"/>
      <c r="O233" s="1508"/>
      <c r="P233" s="1508"/>
      <c r="Q233" s="1508"/>
      <c r="R233" s="1508"/>
      <c r="S233" s="1508"/>
      <c r="T233" s="1508"/>
      <c r="U233" s="1508"/>
      <c r="V233" s="1508"/>
      <c r="W233" s="1508"/>
      <c r="X233" s="1508"/>
      <c r="Y233" s="1508"/>
      <c r="Z233" s="1508"/>
      <c r="AA233" s="1508"/>
      <c r="AB233" s="1508"/>
      <c r="AC233" s="1508"/>
      <c r="AD233" s="1508"/>
      <c r="AE233" s="1508"/>
      <c r="AF233" s="1508"/>
      <c r="AG233" s="1508"/>
      <c r="AH233" s="1508"/>
      <c r="AI233" s="1508"/>
      <c r="AJ233" s="1508"/>
      <c r="AK233" s="1508"/>
      <c r="AL233" s="1"/>
    </row>
    <row r="234" spans="1:38">
      <c r="A234" s="1"/>
      <c r="B234" s="283"/>
      <c r="C234" s="283"/>
      <c r="D234" s="1"/>
      <c r="E234" s="1"/>
      <c r="F234" s="283"/>
      <c r="G234" s="1508"/>
      <c r="H234" s="1508"/>
      <c r="I234" s="1508"/>
      <c r="J234" s="1508"/>
      <c r="K234" s="1508"/>
      <c r="L234" s="1508"/>
      <c r="M234" s="1508"/>
      <c r="N234" s="1508"/>
      <c r="O234" s="1508"/>
      <c r="P234" s="1508"/>
      <c r="Q234" s="1508"/>
      <c r="R234" s="1508"/>
      <c r="S234" s="1508"/>
      <c r="T234" s="1508"/>
      <c r="U234" s="1508"/>
      <c r="V234" s="1508"/>
      <c r="W234" s="1508"/>
      <c r="X234" s="1508"/>
      <c r="Y234" s="1508"/>
      <c r="Z234" s="1508"/>
      <c r="AA234" s="1508"/>
      <c r="AB234" s="1508"/>
      <c r="AC234" s="1508"/>
      <c r="AD234" s="1508"/>
      <c r="AE234" s="1508"/>
      <c r="AF234" s="1508"/>
      <c r="AG234" s="1508"/>
      <c r="AH234" s="1508"/>
      <c r="AI234" s="1508"/>
      <c r="AJ234" s="1508"/>
      <c r="AK234" s="150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08" t="s">
        <v>1931</v>
      </c>
      <c r="H236" s="1508"/>
      <c r="I236" s="1508"/>
      <c r="J236" s="1508"/>
      <c r="K236" s="1508"/>
      <c r="L236" s="1508"/>
      <c r="M236" s="1508"/>
      <c r="N236" s="1508"/>
      <c r="O236" s="1508"/>
      <c r="P236" s="1508"/>
      <c r="Q236" s="1508"/>
      <c r="R236" s="1508"/>
      <c r="S236" s="1508"/>
      <c r="T236" s="1508"/>
      <c r="U236" s="1508"/>
      <c r="V236" s="1508"/>
      <c r="W236" s="1508"/>
      <c r="X236" s="1508"/>
      <c r="Y236" s="1508"/>
      <c r="Z236" s="1508"/>
      <c r="AA236" s="1508"/>
      <c r="AB236" s="1508"/>
      <c r="AC236" s="1508"/>
      <c r="AD236" s="1508"/>
      <c r="AE236" s="1508"/>
      <c r="AF236" s="1508"/>
      <c r="AG236" s="1508"/>
      <c r="AH236" s="1508"/>
      <c r="AI236" s="1508"/>
      <c r="AJ236" s="1508"/>
      <c r="AK236" s="1508"/>
      <c r="AL236" s="1"/>
    </row>
    <row r="237" spans="1:38">
      <c r="A237" s="1"/>
      <c r="B237" s="283"/>
      <c r="C237" s="283"/>
      <c r="D237" s="1"/>
      <c r="E237" s="1"/>
      <c r="F237" s="283"/>
      <c r="G237" s="1508"/>
      <c r="H237" s="1508"/>
      <c r="I237" s="1508"/>
      <c r="J237" s="1508"/>
      <c r="K237" s="1508"/>
      <c r="L237" s="1508"/>
      <c r="M237" s="1508"/>
      <c r="N237" s="1508"/>
      <c r="O237" s="1508"/>
      <c r="P237" s="1508"/>
      <c r="Q237" s="1508"/>
      <c r="R237" s="1508"/>
      <c r="S237" s="1508"/>
      <c r="T237" s="1508"/>
      <c r="U237" s="1508"/>
      <c r="V237" s="1508"/>
      <c r="W237" s="1508"/>
      <c r="X237" s="1508"/>
      <c r="Y237" s="1508"/>
      <c r="Z237" s="1508"/>
      <c r="AA237" s="1508"/>
      <c r="AB237" s="1508"/>
      <c r="AC237" s="1508"/>
      <c r="AD237" s="1508"/>
      <c r="AE237" s="1508"/>
      <c r="AF237" s="1508"/>
      <c r="AG237" s="1508"/>
      <c r="AH237" s="1508"/>
      <c r="AI237" s="1508"/>
      <c r="AJ237" s="1508"/>
      <c r="AK237" s="150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4" t="s">
        <v>372</v>
      </c>
      <c r="C239" s="1064"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7"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5"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5" t="s">
        <v>1789</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9" t="s">
        <v>1169</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5" t="s">
        <v>1790</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7" t="s">
        <v>1110</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7" t="s">
        <v>1355</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7" t="s">
        <v>1107</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0"/>
      <c r="B319" s="1081"/>
      <c r="C319" s="1082"/>
      <c r="D319" s="1081" t="s">
        <v>932</v>
      </c>
      <c r="E319" s="1081" t="s">
        <v>882</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5" t="s">
        <v>1792</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5" t="s">
        <v>1793</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4"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17" t="s">
        <v>2061</v>
      </c>
      <c r="F343" s="1517"/>
      <c r="G343" s="1517"/>
      <c r="H343" s="1517"/>
      <c r="I343" s="1517"/>
      <c r="J343" s="1517"/>
      <c r="K343" s="1517"/>
      <c r="L343" s="1517"/>
      <c r="M343" s="1517"/>
      <c r="N343" s="1517"/>
      <c r="O343" s="1517"/>
      <c r="P343" s="1517"/>
      <c r="Q343" s="1517"/>
      <c r="R343" s="1517"/>
      <c r="S343" s="1517"/>
      <c r="T343" s="1517"/>
      <c r="U343" s="1517"/>
      <c r="V343" s="1517"/>
      <c r="W343" s="1517"/>
      <c r="X343" s="1517"/>
      <c r="Y343" s="1517"/>
      <c r="Z343" s="1517"/>
      <c r="AA343" s="1517"/>
      <c r="AB343" s="1517"/>
      <c r="AC343" s="1517"/>
      <c r="AD343" s="1517"/>
      <c r="AE343" s="1517"/>
      <c r="AF343" s="1517"/>
      <c r="AG343" s="1517"/>
      <c r="AH343" s="1517"/>
      <c r="AI343" s="1517"/>
      <c r="AJ343" s="1517"/>
      <c r="AK343" s="1517"/>
      <c r="AL343" s="1"/>
    </row>
    <row r="344" spans="1:38">
      <c r="A344" s="1"/>
      <c r="B344" s="358"/>
      <c r="C344" s="1"/>
      <c r="D344" s="1"/>
      <c r="E344" s="1517"/>
      <c r="F344" s="1517"/>
      <c r="G344" s="1517"/>
      <c r="H344" s="1517"/>
      <c r="I344" s="1517"/>
      <c r="J344" s="1517"/>
      <c r="K344" s="1517"/>
      <c r="L344" s="1517"/>
      <c r="M344" s="1517"/>
      <c r="N344" s="1517"/>
      <c r="O344" s="1517"/>
      <c r="P344" s="1517"/>
      <c r="Q344" s="1517"/>
      <c r="R344" s="1517"/>
      <c r="S344" s="1517"/>
      <c r="T344" s="1517"/>
      <c r="U344" s="1517"/>
      <c r="V344" s="1517"/>
      <c r="W344" s="1517"/>
      <c r="X344" s="1517"/>
      <c r="Y344" s="1517"/>
      <c r="Z344" s="1517"/>
      <c r="AA344" s="1517"/>
      <c r="AB344" s="1517"/>
      <c r="AC344" s="1517"/>
      <c r="AD344" s="1517"/>
      <c r="AE344" s="1517"/>
      <c r="AF344" s="1517"/>
      <c r="AG344" s="1517"/>
      <c r="AH344" s="1517"/>
      <c r="AI344" s="1517"/>
      <c r="AJ344" s="1517"/>
      <c r="AK344" s="1517"/>
      <c r="AL344" s="1"/>
    </row>
    <row r="345" spans="1:38">
      <c r="A345" s="1"/>
      <c r="B345" s="358"/>
      <c r="C345" s="1"/>
      <c r="D345" s="1"/>
      <c r="E345" s="1517"/>
      <c r="F345" s="1517"/>
      <c r="G345" s="1517"/>
      <c r="H345" s="1517"/>
      <c r="I345" s="1517"/>
      <c r="J345" s="1517"/>
      <c r="K345" s="1517"/>
      <c r="L345" s="1517"/>
      <c r="M345" s="1517"/>
      <c r="N345" s="1517"/>
      <c r="O345" s="1517"/>
      <c r="P345" s="1517"/>
      <c r="Q345" s="1517"/>
      <c r="R345" s="1517"/>
      <c r="S345" s="1517"/>
      <c r="T345" s="1517"/>
      <c r="U345" s="1517"/>
      <c r="V345" s="1517"/>
      <c r="W345" s="1517"/>
      <c r="X345" s="1517"/>
      <c r="Y345" s="1517"/>
      <c r="Z345" s="1517"/>
      <c r="AA345" s="1517"/>
      <c r="AB345" s="1517"/>
      <c r="AC345" s="1517"/>
      <c r="AD345" s="1517"/>
      <c r="AE345" s="1517"/>
      <c r="AF345" s="1517"/>
      <c r="AG345" s="1517"/>
      <c r="AH345" s="1517"/>
      <c r="AI345" s="1517"/>
      <c r="AJ345" s="1517"/>
      <c r="AK345" s="1517"/>
      <c r="AL345" s="1"/>
    </row>
    <row r="346" spans="1:38">
      <c r="A346" s="1"/>
      <c r="B346" s="358"/>
      <c r="C346" s="1"/>
      <c r="D346" s="1"/>
      <c r="E346" s="1517"/>
      <c r="F346" s="1517"/>
      <c r="G346" s="1517"/>
      <c r="H346" s="1517"/>
      <c r="I346" s="1517"/>
      <c r="J346" s="1517"/>
      <c r="K346" s="1517"/>
      <c r="L346" s="1517"/>
      <c r="M346" s="1517"/>
      <c r="N346" s="1517"/>
      <c r="O346" s="1517"/>
      <c r="P346" s="1517"/>
      <c r="Q346" s="1517"/>
      <c r="R346" s="1517"/>
      <c r="S346" s="1517"/>
      <c r="T346" s="1517"/>
      <c r="U346" s="1517"/>
      <c r="V346" s="1517"/>
      <c r="W346" s="1517"/>
      <c r="X346" s="1517"/>
      <c r="Y346" s="1517"/>
      <c r="Z346" s="1517"/>
      <c r="AA346" s="1517"/>
      <c r="AB346" s="1517"/>
      <c r="AC346" s="1517"/>
      <c r="AD346" s="1517"/>
      <c r="AE346" s="1517"/>
      <c r="AF346" s="1517"/>
      <c r="AG346" s="1517"/>
      <c r="AH346" s="1517"/>
      <c r="AI346" s="1517"/>
      <c r="AJ346" s="1517"/>
      <c r="AK346" s="1517"/>
      <c r="AL346" s="1"/>
    </row>
    <row r="347" spans="1:38">
      <c r="A347" s="1"/>
      <c r="B347" s="358"/>
      <c r="C347" s="1"/>
      <c r="D347" s="1"/>
      <c r="E347" s="1517"/>
      <c r="F347" s="1517"/>
      <c r="G347" s="1517"/>
      <c r="H347" s="1517"/>
      <c r="I347" s="1517"/>
      <c r="J347" s="1517"/>
      <c r="K347" s="1517"/>
      <c r="L347" s="1517"/>
      <c r="M347" s="1517"/>
      <c r="N347" s="1517"/>
      <c r="O347" s="1517"/>
      <c r="P347" s="1517"/>
      <c r="Q347" s="1517"/>
      <c r="R347" s="1517"/>
      <c r="S347" s="1517"/>
      <c r="T347" s="1517"/>
      <c r="U347" s="1517"/>
      <c r="V347" s="1517"/>
      <c r="W347" s="1517"/>
      <c r="X347" s="1517"/>
      <c r="Y347" s="1517"/>
      <c r="Z347" s="1517"/>
      <c r="AA347" s="1517"/>
      <c r="AB347" s="1517"/>
      <c r="AC347" s="1517"/>
      <c r="AD347" s="1517"/>
      <c r="AE347" s="1517"/>
      <c r="AF347" s="1517"/>
      <c r="AG347" s="1517"/>
      <c r="AH347" s="1517"/>
      <c r="AI347" s="1517"/>
      <c r="AJ347" s="1517"/>
      <c r="AK347" s="1517"/>
      <c r="AL347" s="1"/>
    </row>
    <row r="348" spans="1:38">
      <c r="A348" s="1"/>
      <c r="B348" s="358"/>
      <c r="C348" s="1"/>
      <c r="D348" s="1"/>
      <c r="E348" s="283" t="s">
        <v>1004</v>
      </c>
      <c r="F348" s="1508" t="s">
        <v>2062</v>
      </c>
      <c r="G348" s="1515"/>
      <c r="H348" s="1515"/>
      <c r="I348" s="1515"/>
      <c r="J348" s="1515"/>
      <c r="K348" s="1515"/>
      <c r="L348" s="1515"/>
      <c r="M348" s="1515"/>
      <c r="N348" s="1515"/>
      <c r="O348" s="1515"/>
      <c r="P348" s="1515"/>
      <c r="Q348" s="1515"/>
      <c r="R348" s="1515"/>
      <c r="S348" s="1515"/>
      <c r="T348" s="1515"/>
      <c r="U348" s="1515"/>
      <c r="V348" s="1515"/>
      <c r="W348" s="1515"/>
      <c r="X348" s="1515"/>
      <c r="Y348" s="1515"/>
      <c r="Z348" s="1515"/>
      <c r="AA348" s="1515"/>
      <c r="AB348" s="1515"/>
      <c r="AC348" s="1515"/>
      <c r="AD348" s="1515"/>
      <c r="AE348" s="1515"/>
      <c r="AF348" s="1515"/>
      <c r="AG348" s="1515"/>
      <c r="AH348" s="1515"/>
      <c r="AI348" s="1515"/>
      <c r="AJ348" s="1515"/>
      <c r="AK348" s="1515"/>
      <c r="AL348" s="1"/>
    </row>
    <row r="349" spans="1:38">
      <c r="A349" s="1"/>
      <c r="B349" s="358"/>
      <c r="C349" s="1"/>
      <c r="D349" s="1"/>
      <c r="E349" s="283"/>
      <c r="F349" s="1508"/>
      <c r="G349" s="1515"/>
      <c r="H349" s="1515"/>
      <c r="I349" s="1515"/>
      <c r="J349" s="1515"/>
      <c r="K349" s="1515"/>
      <c r="L349" s="1515"/>
      <c r="M349" s="1515"/>
      <c r="N349" s="1515"/>
      <c r="O349" s="1515"/>
      <c r="P349" s="1515"/>
      <c r="Q349" s="1515"/>
      <c r="R349" s="1515"/>
      <c r="S349" s="1515"/>
      <c r="T349" s="1515"/>
      <c r="U349" s="1515"/>
      <c r="V349" s="1515"/>
      <c r="W349" s="1515"/>
      <c r="X349" s="1515"/>
      <c r="Y349" s="1515"/>
      <c r="Z349" s="1515"/>
      <c r="AA349" s="1515"/>
      <c r="AB349" s="1515"/>
      <c r="AC349" s="1515"/>
      <c r="AD349" s="1515"/>
      <c r="AE349" s="1515"/>
      <c r="AF349" s="1515"/>
      <c r="AG349" s="1515"/>
      <c r="AH349" s="1515"/>
      <c r="AI349" s="1515"/>
      <c r="AJ349" s="1515"/>
      <c r="AK349" s="1515"/>
      <c r="AL349" s="1"/>
    </row>
    <row r="350" spans="1:38">
      <c r="A350" s="1"/>
      <c r="B350" s="358"/>
      <c r="C350" s="1"/>
      <c r="D350" s="1"/>
      <c r="E350" s="283"/>
      <c r="F350" s="1515"/>
      <c r="G350" s="1515"/>
      <c r="H350" s="1515"/>
      <c r="I350" s="1515"/>
      <c r="J350" s="1515"/>
      <c r="K350" s="1515"/>
      <c r="L350" s="1515"/>
      <c r="M350" s="1515"/>
      <c r="N350" s="1515"/>
      <c r="O350" s="1515"/>
      <c r="P350" s="1515"/>
      <c r="Q350" s="1515"/>
      <c r="R350" s="1515"/>
      <c r="S350" s="1515"/>
      <c r="T350" s="1515"/>
      <c r="U350" s="1515"/>
      <c r="V350" s="1515"/>
      <c r="W350" s="1515"/>
      <c r="X350" s="1515"/>
      <c r="Y350" s="1515"/>
      <c r="Z350" s="1515"/>
      <c r="AA350" s="1515"/>
      <c r="AB350" s="1515"/>
      <c r="AC350" s="1515"/>
      <c r="AD350" s="1515"/>
      <c r="AE350" s="1515"/>
      <c r="AF350" s="1515"/>
      <c r="AG350" s="1515"/>
      <c r="AH350" s="1515"/>
      <c r="AI350" s="1515"/>
      <c r="AJ350" s="1515"/>
      <c r="AK350" s="1515"/>
      <c r="AL350" s="1"/>
    </row>
    <row r="351" spans="1:38">
      <c r="A351" s="1"/>
      <c r="B351" s="358"/>
      <c r="C351" s="1"/>
      <c r="D351" s="1"/>
      <c r="E351" s="283"/>
      <c r="F351" s="1515"/>
      <c r="G351" s="1515"/>
      <c r="H351" s="1515"/>
      <c r="I351" s="1515"/>
      <c r="J351" s="1515"/>
      <c r="K351" s="1515"/>
      <c r="L351" s="1515"/>
      <c r="M351" s="1515"/>
      <c r="N351" s="1515"/>
      <c r="O351" s="1515"/>
      <c r="P351" s="1515"/>
      <c r="Q351" s="1515"/>
      <c r="R351" s="1515"/>
      <c r="S351" s="1515"/>
      <c r="T351" s="1515"/>
      <c r="U351" s="1515"/>
      <c r="V351" s="1515"/>
      <c r="W351" s="1515"/>
      <c r="X351" s="1515"/>
      <c r="Y351" s="1515"/>
      <c r="Z351" s="1515"/>
      <c r="AA351" s="1515"/>
      <c r="AB351" s="1515"/>
      <c r="AC351" s="1515"/>
      <c r="AD351" s="1515"/>
      <c r="AE351" s="1515"/>
      <c r="AF351" s="1515"/>
      <c r="AG351" s="1515"/>
      <c r="AH351" s="1515"/>
      <c r="AI351" s="1515"/>
      <c r="AJ351" s="1515"/>
      <c r="AK351" s="1515"/>
      <c r="AL351" s="1"/>
    </row>
    <row r="352" spans="1:38">
      <c r="A352" s="1"/>
      <c r="B352" s="358"/>
      <c r="C352" s="1"/>
      <c r="D352" s="1"/>
      <c r="E352" s="283" t="s">
        <v>1005</v>
      </c>
      <c r="F352" s="1508" t="s">
        <v>2063</v>
      </c>
      <c r="G352" s="1515"/>
      <c r="H352" s="1515"/>
      <c r="I352" s="1515"/>
      <c r="J352" s="1515"/>
      <c r="K352" s="1515"/>
      <c r="L352" s="1515"/>
      <c r="M352" s="1515"/>
      <c r="N352" s="1515"/>
      <c r="O352" s="1515"/>
      <c r="P352" s="1515"/>
      <c r="Q352" s="1515"/>
      <c r="R352" s="1515"/>
      <c r="S352" s="1515"/>
      <c r="T352" s="1515"/>
      <c r="U352" s="1515"/>
      <c r="V352" s="1515"/>
      <c r="W352" s="1515"/>
      <c r="X352" s="1515"/>
      <c r="Y352" s="1515"/>
      <c r="Z352" s="1515"/>
      <c r="AA352" s="1515"/>
      <c r="AB352" s="1515"/>
      <c r="AC352" s="1515"/>
      <c r="AD352" s="1515"/>
      <c r="AE352" s="1515"/>
      <c r="AF352" s="1515"/>
      <c r="AG352" s="1515"/>
      <c r="AH352" s="1515"/>
      <c r="AI352" s="1515"/>
      <c r="AJ352" s="1515"/>
      <c r="AK352" s="1515"/>
      <c r="AL352" s="1"/>
    </row>
    <row r="353" spans="1:38">
      <c r="A353" s="1"/>
      <c r="B353" s="358"/>
      <c r="C353" s="1"/>
      <c r="D353" s="1"/>
      <c r="E353" s="1"/>
      <c r="F353" s="1515"/>
      <c r="G353" s="1515"/>
      <c r="H353" s="1515"/>
      <c r="I353" s="1515"/>
      <c r="J353" s="1515"/>
      <c r="K353" s="1515"/>
      <c r="L353" s="1515"/>
      <c r="M353" s="1515"/>
      <c r="N353" s="1515"/>
      <c r="O353" s="1515"/>
      <c r="P353" s="1515"/>
      <c r="Q353" s="1515"/>
      <c r="R353" s="1515"/>
      <c r="S353" s="1515"/>
      <c r="T353" s="1515"/>
      <c r="U353" s="1515"/>
      <c r="V353" s="1515"/>
      <c r="W353" s="1515"/>
      <c r="X353" s="1515"/>
      <c r="Y353" s="1515"/>
      <c r="Z353" s="1515"/>
      <c r="AA353" s="1515"/>
      <c r="AB353" s="1515"/>
      <c r="AC353" s="1515"/>
      <c r="AD353" s="1515"/>
      <c r="AE353" s="1515"/>
      <c r="AF353" s="1515"/>
      <c r="AG353" s="1515"/>
      <c r="AH353" s="1515"/>
      <c r="AI353" s="1515"/>
      <c r="AJ353" s="1515"/>
      <c r="AK353" s="1515"/>
      <c r="AL353" s="1"/>
    </row>
    <row r="354" spans="1:38">
      <c r="A354" s="1"/>
      <c r="B354" s="358"/>
      <c r="C354" s="1"/>
      <c r="D354" s="1"/>
      <c r="E354" s="1"/>
      <c r="F354" s="1515"/>
      <c r="G354" s="1515"/>
      <c r="H354" s="1515"/>
      <c r="I354" s="1515"/>
      <c r="J354" s="1515"/>
      <c r="K354" s="1515"/>
      <c r="L354" s="1515"/>
      <c r="M354" s="1515"/>
      <c r="N354" s="1515"/>
      <c r="O354" s="1515"/>
      <c r="P354" s="1515"/>
      <c r="Q354" s="1515"/>
      <c r="R354" s="1515"/>
      <c r="S354" s="1515"/>
      <c r="T354" s="1515"/>
      <c r="U354" s="1515"/>
      <c r="V354" s="1515"/>
      <c r="W354" s="1515"/>
      <c r="X354" s="1515"/>
      <c r="Y354" s="1515"/>
      <c r="Z354" s="1515"/>
      <c r="AA354" s="1515"/>
      <c r="AB354" s="1515"/>
      <c r="AC354" s="1515"/>
      <c r="AD354" s="1515"/>
      <c r="AE354" s="1515"/>
      <c r="AF354" s="1515"/>
      <c r="AG354" s="1515"/>
      <c r="AH354" s="1515"/>
      <c r="AI354" s="1515"/>
      <c r="AJ354" s="1515"/>
      <c r="AK354" s="1515"/>
      <c r="AL354" s="1"/>
    </row>
    <row r="355" spans="1:38">
      <c r="A355" s="1"/>
      <c r="B355" s="358"/>
      <c r="C355" s="1"/>
      <c r="D355" s="1"/>
      <c r="E355" s="1"/>
      <c r="F355" s="1515"/>
      <c r="G355" s="1515"/>
      <c r="H355" s="1515"/>
      <c r="I355" s="1515"/>
      <c r="J355" s="1515"/>
      <c r="K355" s="1515"/>
      <c r="L355" s="1515"/>
      <c r="M355" s="1515"/>
      <c r="N355" s="1515"/>
      <c r="O355" s="1515"/>
      <c r="P355" s="1515"/>
      <c r="Q355" s="1515"/>
      <c r="R355" s="1515"/>
      <c r="S355" s="1515"/>
      <c r="T355" s="1515"/>
      <c r="U355" s="1515"/>
      <c r="V355" s="1515"/>
      <c r="W355" s="1515"/>
      <c r="X355" s="1515"/>
      <c r="Y355" s="1515"/>
      <c r="Z355" s="1515"/>
      <c r="AA355" s="1515"/>
      <c r="AB355" s="1515"/>
      <c r="AC355" s="1515"/>
      <c r="AD355" s="1515"/>
      <c r="AE355" s="1515"/>
      <c r="AF355" s="1515"/>
      <c r="AG355" s="1515"/>
      <c r="AH355" s="1515"/>
      <c r="AI355" s="1515"/>
      <c r="AJ355" s="1515"/>
      <c r="AK355" s="1515"/>
      <c r="AL355" s="1"/>
    </row>
    <row r="356" spans="1:38">
      <c r="A356" s="12"/>
      <c r="B356" s="1064" t="s">
        <v>497</v>
      </c>
      <c r="C356" s="1064" t="s">
        <v>172</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4" customFormat="1">
      <c r="A365" s="1"/>
      <c r="B365" s="358"/>
      <c r="C365" s="1"/>
      <c r="D365" s="1"/>
      <c r="E365" s="1514" t="s">
        <v>2058</v>
      </c>
    </row>
    <row r="366" spans="1:38" s="1514" customFormat="1">
      <c r="A366" s="1"/>
      <c r="B366" s="358"/>
      <c r="C366" s="1"/>
      <c r="D366" s="1"/>
    </row>
    <row r="367" spans="1:38">
      <c r="A367" s="1"/>
      <c r="B367" s="358"/>
      <c r="C367" s="1"/>
      <c r="D367" s="1"/>
      <c r="E367" s="1"/>
      <c r="F367" s="1512" t="s">
        <v>2059</v>
      </c>
      <c r="G367" s="1513"/>
      <c r="H367" s="1513"/>
      <c r="I367" s="1513"/>
      <c r="J367" s="1513"/>
      <c r="K367" s="1513"/>
      <c r="L367" s="1513"/>
      <c r="M367" s="1513"/>
      <c r="N367" s="1513"/>
      <c r="O367" s="1513"/>
      <c r="P367" s="1513"/>
      <c r="Q367" s="1513"/>
      <c r="R367" s="1513"/>
      <c r="S367" s="1513"/>
      <c r="T367" s="1513"/>
      <c r="U367" s="1513"/>
      <c r="V367" s="1513"/>
      <c r="W367" s="1513"/>
      <c r="X367" s="1513"/>
      <c r="Y367" s="1513"/>
      <c r="Z367" s="1513"/>
      <c r="AA367" s="1513"/>
      <c r="AB367" s="1513"/>
      <c r="AC367" s="1513"/>
      <c r="AD367" s="1513"/>
      <c r="AE367" s="1513"/>
      <c r="AF367" s="1513"/>
      <c r="AG367" s="1513"/>
      <c r="AH367" s="1513"/>
      <c r="AI367" s="1513"/>
      <c r="AJ367" s="1513"/>
      <c r="AK367" s="1513"/>
      <c r="AL367" s="1513"/>
    </row>
    <row r="368" spans="1:38">
      <c r="A368" s="1"/>
      <c r="B368" s="358"/>
      <c r="C368" s="1"/>
      <c r="D368" s="1"/>
      <c r="E368" s="1"/>
      <c r="F368" s="1513"/>
      <c r="G368" s="1513"/>
      <c r="H368" s="1513"/>
      <c r="I368" s="1513"/>
      <c r="J368" s="1513"/>
      <c r="K368" s="1513"/>
      <c r="L368" s="1513"/>
      <c r="M368" s="1513"/>
      <c r="N368" s="1513"/>
      <c r="O368" s="1513"/>
      <c r="P368" s="1513"/>
      <c r="Q368" s="1513"/>
      <c r="R368" s="1513"/>
      <c r="S368" s="1513"/>
      <c r="T368" s="1513"/>
      <c r="U368" s="1513"/>
      <c r="V368" s="1513"/>
      <c r="W368" s="1513"/>
      <c r="X368" s="1513"/>
      <c r="Y368" s="1513"/>
      <c r="Z368" s="1513"/>
      <c r="AA368" s="1513"/>
      <c r="AB368" s="1513"/>
      <c r="AC368" s="1513"/>
      <c r="AD368" s="1513"/>
      <c r="AE368" s="1513"/>
      <c r="AF368" s="1513"/>
      <c r="AG368" s="1513"/>
      <c r="AH368" s="1513"/>
      <c r="AI368" s="1513"/>
      <c r="AJ368" s="1513"/>
      <c r="AK368" s="1513"/>
      <c r="AL368" s="151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7" t="s">
        <v>1797</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7" t="s">
        <v>1797</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c r="A393" s="12"/>
      <c r="B393" s="1064" t="s">
        <v>823</v>
      </c>
      <c r="C393" s="1064"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3" t="s">
        <v>160</v>
      </c>
      <c r="C408" s="1064"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7"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90" zoomScaleNormal="100" zoomScaleSheetLayoutView="90" workbookViewId="0">
      <selection activeCell="O29" sqref="O29:O32"/>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04" t="s">
        <v>2127</v>
      </c>
      <c r="B1" s="2604"/>
      <c r="C1" s="2604"/>
      <c r="D1" s="2604"/>
      <c r="E1" s="2604"/>
      <c r="F1" s="2604"/>
      <c r="G1" s="2604"/>
      <c r="H1" s="2604"/>
      <c r="I1" s="2604"/>
      <c r="J1" s="2604"/>
      <c r="K1" s="2604"/>
      <c r="L1" s="2604"/>
      <c r="M1" s="2604"/>
      <c r="N1" s="2604"/>
      <c r="O1" s="2604"/>
      <c r="P1" s="2604"/>
      <c r="Q1" s="2604"/>
      <c r="R1" s="2604"/>
      <c r="S1" s="2604"/>
    </row>
    <row r="2" spans="1:19" ht="15" customHeight="1">
      <c r="A2" s="2604"/>
      <c r="B2" s="2604"/>
      <c r="C2" s="2604"/>
      <c r="D2" s="2604"/>
      <c r="E2" s="2604"/>
      <c r="F2" s="2604"/>
      <c r="G2" s="2604"/>
      <c r="H2" s="2604"/>
      <c r="I2" s="2604"/>
      <c r="J2" s="2604"/>
      <c r="K2" s="2604"/>
      <c r="L2" s="2604"/>
      <c r="M2" s="2604"/>
      <c r="N2" s="2604"/>
      <c r="O2" s="2604"/>
      <c r="P2" s="2604"/>
      <c r="Q2" s="2604"/>
      <c r="R2" s="2604"/>
      <c r="S2" s="260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89" t="s">
        <v>1838</v>
      </c>
      <c r="C4" s="2589"/>
      <c r="D4" s="2589"/>
      <c r="E4" s="2589"/>
      <c r="F4" s="2589"/>
      <c r="G4" s="2589"/>
      <c r="H4" s="2589"/>
      <c r="I4" s="2589"/>
      <c r="J4" s="2589"/>
      <c r="K4" s="2589"/>
      <c r="L4" s="2589"/>
      <c r="M4" s="2589"/>
      <c r="N4" s="2589"/>
      <c r="O4" s="2589"/>
      <c r="P4" s="2589"/>
      <c r="Q4" s="2589"/>
      <c r="R4" s="2589"/>
      <c r="S4" s="818"/>
    </row>
    <row r="5" spans="1:19" ht="15" customHeight="1">
      <c r="A5" s="817"/>
      <c r="B5" s="2589"/>
      <c r="C5" s="2589"/>
      <c r="D5" s="2589"/>
      <c r="E5" s="2589"/>
      <c r="F5" s="2589"/>
      <c r="G5" s="2589"/>
      <c r="H5" s="2589"/>
      <c r="I5" s="2589"/>
      <c r="J5" s="2589"/>
      <c r="K5" s="2589"/>
      <c r="L5" s="2589"/>
      <c r="M5" s="2589"/>
      <c r="N5" s="2589"/>
      <c r="O5" s="2589"/>
      <c r="P5" s="2589"/>
      <c r="Q5" s="2589"/>
      <c r="R5" s="2589"/>
      <c r="S5" s="818"/>
    </row>
    <row r="6" spans="1:19" ht="15" customHeight="1">
      <c r="A6" s="817"/>
      <c r="B6" s="2589"/>
      <c r="C6" s="2589"/>
      <c r="D6" s="2589"/>
      <c r="E6" s="2589"/>
      <c r="F6" s="2589"/>
      <c r="G6" s="2589"/>
      <c r="H6" s="2589"/>
      <c r="I6" s="2589"/>
      <c r="J6" s="2589"/>
      <c r="K6" s="2589"/>
      <c r="L6" s="2589"/>
      <c r="M6" s="2589"/>
      <c r="N6" s="2589"/>
      <c r="O6" s="2589"/>
      <c r="P6" s="2589"/>
      <c r="Q6" s="2589"/>
      <c r="R6" s="2589"/>
      <c r="S6" s="818"/>
    </row>
    <row r="7" spans="1:19" ht="15" customHeight="1">
      <c r="A7" s="817"/>
      <c r="B7" s="1043"/>
      <c r="C7" s="1043"/>
      <c r="D7" s="1043"/>
      <c r="E7" s="1043"/>
      <c r="F7" s="1043"/>
      <c r="G7" s="1043"/>
      <c r="H7" s="1043"/>
      <c r="I7" s="1043"/>
      <c r="J7" s="1043"/>
      <c r="K7" s="1043"/>
      <c r="L7" s="1043"/>
      <c r="M7" s="1043"/>
      <c r="N7" s="1043"/>
      <c r="O7" s="1043"/>
      <c r="P7" s="1043"/>
      <c r="Q7" s="1043"/>
      <c r="R7" s="1043"/>
      <c r="S7" s="818"/>
    </row>
    <row r="8" spans="1:19" ht="15" customHeight="1">
      <c r="A8" s="817"/>
      <c r="B8" s="2589" t="s">
        <v>1914</v>
      </c>
      <c r="C8" s="2589"/>
      <c r="D8" s="2589"/>
      <c r="E8" s="2589"/>
      <c r="F8" s="2589"/>
      <c r="G8" s="2589"/>
      <c r="H8" s="2589"/>
      <c r="I8" s="2589"/>
      <c r="J8" s="2589"/>
      <c r="K8" s="2589"/>
      <c r="L8" s="2589"/>
      <c r="M8" s="2589"/>
      <c r="N8" s="2589"/>
      <c r="O8" s="2589"/>
      <c r="P8" s="2589"/>
      <c r="Q8" s="2589"/>
      <c r="R8" s="258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5" t="s">
        <v>1915</v>
      </c>
      <c r="C10" s="2605"/>
      <c r="D10" s="2605"/>
      <c r="E10" s="2605"/>
      <c r="F10" s="2605"/>
      <c r="G10" s="2605"/>
      <c r="H10" s="2605"/>
      <c r="I10" s="2605"/>
      <c r="J10" s="2605"/>
      <c r="K10" s="2605"/>
      <c r="L10" s="2605"/>
      <c r="M10" s="2605"/>
      <c r="N10" s="2605"/>
      <c r="O10" s="2605"/>
      <c r="P10" s="2605"/>
      <c r="Q10" s="2605"/>
      <c r="R10" s="2605"/>
      <c r="S10" s="818"/>
    </row>
    <row r="11" spans="1:19" ht="15" customHeight="1">
      <c r="A11" s="817"/>
      <c r="B11" s="2605"/>
      <c r="C11" s="2605"/>
      <c r="D11" s="2605"/>
      <c r="E11" s="2605"/>
      <c r="F11" s="2605"/>
      <c r="G11" s="2605"/>
      <c r="H11" s="2605"/>
      <c r="I11" s="2605"/>
      <c r="J11" s="2605"/>
      <c r="K11" s="2605"/>
      <c r="L11" s="2605"/>
      <c r="M11" s="2605"/>
      <c r="N11" s="2605"/>
      <c r="O11" s="2605"/>
      <c r="P11" s="2605"/>
      <c r="Q11" s="2605"/>
      <c r="R11" s="2605"/>
      <c r="S11" s="818"/>
    </row>
    <row r="12" spans="1:19" ht="15" customHeight="1">
      <c r="A12" s="817"/>
      <c r="B12" s="1052"/>
      <c r="C12" s="1052"/>
      <c r="D12" s="1052"/>
      <c r="E12" s="1052"/>
      <c r="F12" s="1052"/>
      <c r="G12" s="1052"/>
      <c r="H12" s="1052"/>
      <c r="I12" s="1052"/>
      <c r="J12" s="1052"/>
      <c r="K12" s="1052"/>
      <c r="L12" s="1052"/>
      <c r="M12" s="1052"/>
      <c r="N12" s="1052"/>
      <c r="O12" s="1052"/>
      <c r="P12" s="1052"/>
      <c r="Q12" s="1052"/>
      <c r="R12" s="1052"/>
      <c r="S12" s="818"/>
    </row>
    <row r="13" spans="1:19" ht="15" customHeight="1">
      <c r="A13" s="817"/>
      <c r="B13" s="2605" t="s">
        <v>2231</v>
      </c>
      <c r="C13" s="2605"/>
      <c r="D13" s="2605"/>
      <c r="E13" s="2605"/>
      <c r="F13" s="2605"/>
      <c r="G13" s="2605"/>
      <c r="H13" s="2605"/>
      <c r="I13" s="2605"/>
      <c r="J13" s="2605"/>
      <c r="K13" s="2605"/>
      <c r="L13" s="2605"/>
      <c r="M13" s="2605"/>
      <c r="N13" s="2605"/>
      <c r="O13" s="2605"/>
      <c r="P13" s="2605"/>
      <c r="Q13" s="2605"/>
      <c r="R13" s="2605"/>
      <c r="S13" s="818"/>
    </row>
    <row r="14" spans="1:19" ht="15" customHeight="1">
      <c r="A14" s="817"/>
      <c r="B14" s="2605"/>
      <c r="C14" s="2605"/>
      <c r="D14" s="2605"/>
      <c r="E14" s="2605"/>
      <c r="F14" s="2605"/>
      <c r="G14" s="2605"/>
      <c r="H14" s="2605"/>
      <c r="I14" s="2605"/>
      <c r="J14" s="2605"/>
      <c r="K14" s="2605"/>
      <c r="L14" s="2605"/>
      <c r="M14" s="2605"/>
      <c r="N14" s="2605"/>
      <c r="O14" s="2605"/>
      <c r="P14" s="2605"/>
      <c r="Q14" s="2605"/>
      <c r="R14" s="2605"/>
      <c r="S14" s="818"/>
    </row>
    <row r="15" spans="1:19" ht="15" customHeight="1">
      <c r="A15" s="817"/>
      <c r="B15" s="2605"/>
      <c r="C15" s="2605"/>
      <c r="D15" s="2605"/>
      <c r="E15" s="2605"/>
      <c r="F15" s="2605"/>
      <c r="G15" s="2605"/>
      <c r="H15" s="2605"/>
      <c r="I15" s="2605"/>
      <c r="J15" s="2605"/>
      <c r="K15" s="2605"/>
      <c r="L15" s="2605"/>
      <c r="M15" s="2605"/>
      <c r="N15" s="2605"/>
      <c r="O15" s="2605"/>
      <c r="P15" s="2605"/>
      <c r="Q15" s="2605"/>
      <c r="R15" s="2605"/>
      <c r="S15" s="818"/>
    </row>
    <row r="16" spans="1:19" ht="15" customHeight="1">
      <c r="A16" s="817"/>
      <c r="B16" s="2605"/>
      <c r="C16" s="2605"/>
      <c r="D16" s="2605"/>
      <c r="E16" s="2605"/>
      <c r="F16" s="2605"/>
      <c r="G16" s="2605"/>
      <c r="H16" s="2605"/>
      <c r="I16" s="2605"/>
      <c r="J16" s="2605"/>
      <c r="K16" s="2605"/>
      <c r="L16" s="2605"/>
      <c r="M16" s="2605"/>
      <c r="N16" s="2605"/>
      <c r="O16" s="2605"/>
      <c r="P16" s="2605"/>
      <c r="Q16" s="2605"/>
      <c r="R16" s="2605"/>
      <c r="S16" s="818"/>
    </row>
    <row r="17" spans="1:19" ht="15" customHeight="1">
      <c r="A17" s="817"/>
      <c r="B17" s="2605"/>
      <c r="C17" s="2605"/>
      <c r="D17" s="2605"/>
      <c r="E17" s="2605"/>
      <c r="F17" s="2605"/>
      <c r="G17" s="2605"/>
      <c r="H17" s="2605"/>
      <c r="I17" s="2605"/>
      <c r="J17" s="2605"/>
      <c r="K17" s="2605"/>
      <c r="L17" s="2605"/>
      <c r="M17" s="2605"/>
      <c r="N17" s="2605"/>
      <c r="O17" s="2605"/>
      <c r="P17" s="2605"/>
      <c r="Q17" s="2605"/>
      <c r="R17" s="260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0" t="s">
        <v>2038</v>
      </c>
      <c r="C19" s="2590"/>
      <c r="D19" s="2590"/>
      <c r="E19" s="2590"/>
      <c r="F19" s="2590"/>
      <c r="G19" s="2590"/>
      <c r="H19" s="2590"/>
      <c r="I19" s="2590"/>
      <c r="J19" s="2590"/>
      <c r="K19" s="2590"/>
      <c r="L19" s="2590"/>
      <c r="M19" s="2590"/>
      <c r="N19" s="2590"/>
      <c r="O19" s="2590"/>
      <c r="P19" s="2590"/>
      <c r="Q19" s="2590"/>
      <c r="R19" s="2590"/>
      <c r="S19" s="818"/>
    </row>
    <row r="20" spans="1:19" ht="15" customHeight="1">
      <c r="A20" s="817"/>
      <c r="B20" s="2590"/>
      <c r="C20" s="2590"/>
      <c r="D20" s="2590"/>
      <c r="E20" s="2590"/>
      <c r="F20" s="2590"/>
      <c r="G20" s="2590"/>
      <c r="H20" s="2590"/>
      <c r="I20" s="2590"/>
      <c r="J20" s="2590"/>
      <c r="K20" s="2590"/>
      <c r="L20" s="2590"/>
      <c r="M20" s="2590"/>
      <c r="N20" s="2590"/>
      <c r="O20" s="2590"/>
      <c r="P20" s="2590"/>
      <c r="Q20" s="2590"/>
      <c r="R20" s="2590"/>
      <c r="S20" s="818"/>
    </row>
    <row r="21" spans="1:19" ht="15" customHeight="1">
      <c r="A21" s="817"/>
      <c r="B21" s="2590"/>
      <c r="C21" s="2590"/>
      <c r="D21" s="2590"/>
      <c r="E21" s="2590"/>
      <c r="F21" s="2590"/>
      <c r="G21" s="2590"/>
      <c r="H21" s="2590"/>
      <c r="I21" s="2590"/>
      <c r="J21" s="2590"/>
      <c r="K21" s="2590"/>
      <c r="L21" s="2590"/>
      <c r="M21" s="2590"/>
      <c r="N21" s="2590"/>
      <c r="O21" s="2590"/>
      <c r="P21" s="2590"/>
      <c r="Q21" s="2590"/>
      <c r="R21" s="2590"/>
      <c r="S21" s="818"/>
    </row>
    <row r="22" spans="1:19" ht="15" customHeight="1">
      <c r="A22" s="817"/>
      <c r="B22" s="1051"/>
      <c r="C22" s="1051"/>
      <c r="D22" s="1051"/>
      <c r="E22" s="1051"/>
      <c r="F22" s="1051"/>
      <c r="G22" s="1051"/>
      <c r="H22" s="1051"/>
      <c r="I22" s="1051"/>
      <c r="J22" s="1051"/>
      <c r="K22" s="1051"/>
      <c r="L22" s="1051"/>
      <c r="M22" s="1051"/>
      <c r="N22" s="1051"/>
      <c r="O22" s="1051"/>
      <c r="P22" s="1051"/>
      <c r="Q22" s="1051"/>
      <c r="R22" s="1051"/>
      <c r="S22" s="818"/>
    </row>
    <row r="23" spans="1:19" ht="15" customHeight="1">
      <c r="A23" s="817"/>
      <c r="B23" s="2590" t="s">
        <v>2039</v>
      </c>
      <c r="C23" s="2590"/>
      <c r="D23" s="2590"/>
      <c r="E23" s="2590"/>
      <c r="F23" s="2590"/>
      <c r="G23" s="2590"/>
      <c r="H23" s="2590"/>
      <c r="I23" s="2590"/>
      <c r="J23" s="2590"/>
      <c r="K23" s="2590"/>
      <c r="L23" s="2590"/>
      <c r="M23" s="2590"/>
      <c r="N23" s="2590"/>
      <c r="O23" s="2590"/>
      <c r="P23" s="2590"/>
      <c r="Q23" s="2590"/>
      <c r="R23" s="2590"/>
      <c r="S23" s="818"/>
    </row>
    <row r="24" spans="1:19" ht="15" customHeight="1">
      <c r="A24" s="819"/>
      <c r="B24" s="2590"/>
      <c r="C24" s="2590"/>
      <c r="D24" s="2590"/>
      <c r="E24" s="2590"/>
      <c r="F24" s="2590"/>
      <c r="G24" s="2590"/>
      <c r="H24" s="2590"/>
      <c r="I24" s="2590"/>
      <c r="J24" s="2590"/>
      <c r="K24" s="2590"/>
      <c r="L24" s="2590"/>
      <c r="M24" s="2590"/>
      <c r="N24" s="2590"/>
      <c r="O24" s="2590"/>
      <c r="P24" s="2590"/>
      <c r="Q24" s="2590"/>
      <c r="R24" s="2590"/>
      <c r="S24" s="819"/>
    </row>
    <row r="25" spans="1:19" ht="15" customHeight="1">
      <c r="A25" s="819"/>
      <c r="B25" s="1051"/>
      <c r="C25" s="1051"/>
      <c r="D25" s="1051"/>
      <c r="E25" s="1051"/>
      <c r="F25" s="1051"/>
      <c r="G25" s="1051"/>
      <c r="H25" s="1051"/>
      <c r="I25" s="1051"/>
      <c r="J25" s="1051"/>
      <c r="K25" s="1051"/>
      <c r="L25" s="1051"/>
      <c r="M25" s="1051"/>
      <c r="N25" s="1051"/>
      <c r="O25" s="1051"/>
      <c r="P25" s="1051"/>
      <c r="Q25" s="1051"/>
      <c r="R25" s="1051"/>
      <c r="S25" s="819"/>
    </row>
    <row r="26" spans="1:19" ht="15" customHeight="1">
      <c r="A26" s="819"/>
      <c r="B26" s="2589" t="s">
        <v>1913</v>
      </c>
      <c r="C26" s="2589"/>
      <c r="D26" s="2589"/>
      <c r="E26" s="2589"/>
      <c r="F26" s="2589"/>
      <c r="G26" s="2589"/>
      <c r="H26" s="2589"/>
      <c r="I26" s="2589"/>
      <c r="J26" s="2589"/>
      <c r="K26" s="2589"/>
      <c r="L26" s="2589"/>
      <c r="M26" s="2589"/>
      <c r="N26" s="2589"/>
      <c r="O26" s="2589"/>
      <c r="P26" s="2589"/>
      <c r="Q26" s="2589"/>
      <c r="R26" s="2589"/>
      <c r="S26" s="819"/>
    </row>
    <row r="27" spans="1:19" ht="15" customHeight="1">
      <c r="A27" s="819"/>
      <c r="B27" s="1051"/>
      <c r="C27" s="1051"/>
      <c r="D27" s="1051"/>
      <c r="E27" s="1051"/>
      <c r="F27" s="1051"/>
      <c r="G27" s="1051"/>
      <c r="H27" s="1051"/>
      <c r="I27" s="1051"/>
      <c r="J27" s="1051"/>
      <c r="K27" s="1051"/>
      <c r="L27" s="1051"/>
      <c r="M27" s="1051"/>
      <c r="N27" s="1051"/>
      <c r="O27" s="1051"/>
      <c r="P27" s="1051"/>
      <c r="Q27" s="1051"/>
      <c r="R27" s="1051"/>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599" t="s">
        <v>1817</v>
      </c>
      <c r="C29" s="2599"/>
      <c r="D29" s="2599"/>
      <c r="E29" s="2599"/>
      <c r="F29" s="2599"/>
      <c r="G29" s="2599"/>
      <c r="H29" s="821"/>
      <c r="I29" s="821"/>
      <c r="J29" s="821"/>
      <c r="K29" s="821"/>
      <c r="L29" s="821"/>
      <c r="M29" s="821"/>
      <c r="N29" s="821"/>
      <c r="O29" s="2597" t="s">
        <v>1826</v>
      </c>
      <c r="P29" s="819"/>
      <c r="Q29" s="819"/>
      <c r="R29" s="819"/>
      <c r="S29" s="819"/>
    </row>
    <row r="30" spans="1:19" ht="15" customHeight="1">
      <c r="A30" s="819"/>
      <c r="B30" s="2599"/>
      <c r="C30" s="2599"/>
      <c r="D30" s="2599"/>
      <c r="E30" s="2599"/>
      <c r="F30" s="2599"/>
      <c r="G30" s="2599"/>
      <c r="H30" s="821"/>
      <c r="I30" s="821"/>
      <c r="J30" s="821"/>
      <c r="K30" s="821"/>
      <c r="L30" s="821"/>
      <c r="M30" s="821"/>
      <c r="N30" s="821"/>
      <c r="O30" s="2597"/>
      <c r="P30" s="819"/>
      <c r="Q30" s="819"/>
      <c r="R30" s="819"/>
      <c r="S30" s="819"/>
    </row>
    <row r="31" spans="1:19" ht="15" customHeight="1">
      <c r="A31" s="819"/>
      <c r="B31" s="2599"/>
      <c r="C31" s="2599"/>
      <c r="D31" s="2599"/>
      <c r="E31" s="2599"/>
      <c r="F31" s="2599"/>
      <c r="G31" s="2599"/>
      <c r="H31" s="821"/>
      <c r="I31" s="821"/>
      <c r="J31" s="821"/>
      <c r="K31" s="821"/>
      <c r="L31" s="821"/>
      <c r="M31" s="821"/>
      <c r="N31" s="821"/>
      <c r="O31" s="2597"/>
      <c r="P31" s="819"/>
      <c r="Q31" s="819"/>
      <c r="R31" s="819"/>
      <c r="S31" s="819"/>
    </row>
    <row r="32" spans="1:19" ht="15" customHeight="1">
      <c r="A32" s="819"/>
      <c r="B32" s="2600"/>
      <c r="C32" s="2600"/>
      <c r="D32" s="2600"/>
      <c r="E32" s="2600"/>
      <c r="F32" s="2600"/>
      <c r="G32" s="2600"/>
      <c r="H32" s="819"/>
      <c r="I32" s="2601" t="s">
        <v>155</v>
      </c>
      <c r="J32" s="2602" t="s">
        <v>1096</v>
      </c>
      <c r="K32" s="2603">
        <v>1</v>
      </c>
      <c r="L32" s="819"/>
      <c r="M32" s="822"/>
      <c r="N32" s="819"/>
      <c r="O32" s="2598"/>
      <c r="P32" s="2602" t="s">
        <v>2229</v>
      </c>
      <c r="Q32" s="819"/>
      <c r="R32" s="819"/>
      <c r="S32" s="819"/>
    </row>
    <row r="33" spans="1:19" ht="15" customHeight="1">
      <c r="A33" s="819"/>
      <c r="B33" s="2633" t="s">
        <v>1821</v>
      </c>
      <c r="C33" s="2633"/>
      <c r="D33" s="2633"/>
      <c r="E33" s="2633"/>
      <c r="F33" s="2633"/>
      <c r="G33" s="2633"/>
      <c r="H33" s="819"/>
      <c r="I33" s="2601"/>
      <c r="J33" s="2602"/>
      <c r="K33" s="2603"/>
      <c r="L33" s="819"/>
      <c r="M33" s="823"/>
      <c r="N33" s="819"/>
      <c r="O33" s="2633" t="s">
        <v>1821</v>
      </c>
      <c r="P33" s="2602"/>
      <c r="Q33" s="819"/>
      <c r="R33" s="819"/>
      <c r="S33" s="819"/>
    </row>
    <row r="34" spans="1:19" ht="15" customHeight="1">
      <c r="A34" s="819"/>
      <c r="B34" s="2634"/>
      <c r="C34" s="2634"/>
      <c r="D34" s="2634"/>
      <c r="E34" s="2634"/>
      <c r="F34" s="2634"/>
      <c r="G34" s="2634"/>
      <c r="H34" s="819"/>
      <c r="I34" s="1049"/>
      <c r="J34" s="1048"/>
      <c r="K34" s="1050"/>
      <c r="L34" s="819"/>
      <c r="M34" s="823"/>
      <c r="N34" s="819"/>
      <c r="O34" s="2634"/>
      <c r="P34" s="1048"/>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2"/>
      <c r="C36" s="1042"/>
      <c r="D36" s="1042"/>
      <c r="E36" s="1042"/>
      <c r="F36" s="1042"/>
      <c r="G36" s="1042"/>
      <c r="H36" s="819"/>
      <c r="I36" s="1040"/>
      <c r="J36" s="1039"/>
      <c r="K36" s="1041"/>
      <c r="L36" s="819"/>
      <c r="M36" s="823"/>
      <c r="N36" s="819"/>
      <c r="O36" s="1042"/>
      <c r="P36" s="1039"/>
      <c r="Q36" s="819"/>
      <c r="R36" s="819"/>
      <c r="S36" s="819"/>
    </row>
    <row r="37" spans="1:19" ht="15" customHeight="1">
      <c r="A37" s="829"/>
      <c r="B37" s="2606" t="s">
        <v>1809</v>
      </c>
      <c r="C37" s="2606"/>
      <c r="D37" s="2606"/>
      <c r="E37" s="2606"/>
      <c r="F37" s="830"/>
      <c r="G37" s="830"/>
      <c r="H37" s="831"/>
      <c r="I37" s="832"/>
      <c r="J37" s="832"/>
      <c r="P37" s="819"/>
      <c r="Q37" s="833"/>
      <c r="R37" s="833"/>
      <c r="S37" s="819"/>
    </row>
    <row r="38" spans="1:19" ht="15" customHeight="1">
      <c r="A38" s="819"/>
      <c r="B38" s="2611" t="s">
        <v>1827</v>
      </c>
      <c r="C38" s="2611"/>
      <c r="D38" s="2611"/>
      <c r="E38" s="2611"/>
      <c r="F38" s="1044"/>
      <c r="G38" s="834">
        <f>D110</f>
        <v>4387283.5283892676</v>
      </c>
      <c r="H38" s="835"/>
      <c r="I38" s="836"/>
      <c r="J38" s="835"/>
      <c r="L38" s="1322"/>
      <c r="M38" s="1322"/>
      <c r="N38" s="1322"/>
      <c r="O38" s="1322"/>
      <c r="P38" s="782"/>
      <c r="Q38" s="2596"/>
      <c r="R38" s="2596"/>
      <c r="S38" s="782"/>
    </row>
    <row r="39" spans="1:19" ht="15" customHeight="1">
      <c r="A39" s="597"/>
      <c r="B39" s="2612" t="s">
        <v>1420</v>
      </c>
      <c r="C39" s="2612"/>
      <c r="D39" s="2612"/>
      <c r="E39" s="2612"/>
      <c r="F39" s="1044"/>
      <c r="G39" s="1002"/>
      <c r="H39" s="835"/>
      <c r="I39" s="836"/>
      <c r="J39" s="835"/>
      <c r="L39" s="835"/>
      <c r="M39" s="833"/>
      <c r="N39" s="833"/>
      <c r="O39" s="833"/>
      <c r="P39" s="782"/>
      <c r="Q39" s="1179"/>
      <c r="R39" s="1179"/>
      <c r="S39" s="782"/>
    </row>
    <row r="40" spans="1:19" ht="15" customHeight="1">
      <c r="A40" s="597"/>
      <c r="B40" s="2612" t="s">
        <v>1421</v>
      </c>
      <c r="C40" s="2612"/>
      <c r="D40" s="2612"/>
      <c r="E40" s="2612"/>
      <c r="F40" s="1044"/>
      <c r="G40" s="1002"/>
      <c r="H40" s="835"/>
      <c r="I40" s="836"/>
      <c r="J40" s="835"/>
      <c r="K40" s="2595"/>
      <c r="L40" s="2595"/>
      <c r="M40" s="2595"/>
      <c r="N40" s="2595"/>
      <c r="O40" s="2595"/>
      <c r="P40" s="1073"/>
      <c r="Q40" s="2596"/>
      <c r="R40" s="2596"/>
      <c r="S40" s="819"/>
    </row>
    <row r="41" spans="1:19" ht="15" customHeight="1">
      <c r="A41" s="597"/>
      <c r="B41" s="2613" t="s">
        <v>1822</v>
      </c>
      <c r="C41" s="2613"/>
      <c r="D41" s="2613"/>
      <c r="E41" s="2613"/>
      <c r="F41" s="1044"/>
      <c r="G41" s="835"/>
      <c r="H41" s="835"/>
      <c r="I41" s="836"/>
      <c r="J41" s="835"/>
      <c r="K41" s="835"/>
      <c r="L41" s="835"/>
      <c r="M41" s="833"/>
      <c r="N41" s="833"/>
      <c r="O41" s="833"/>
      <c r="P41" s="782"/>
      <c r="Q41" s="837"/>
      <c r="R41" s="837"/>
      <c r="S41" s="819"/>
    </row>
    <row r="42" spans="1:19" ht="15" customHeight="1">
      <c r="A42" s="597"/>
      <c r="B42" s="1004" t="s">
        <v>2472</v>
      </c>
      <c r="C42" s="1004"/>
      <c r="D42" s="997"/>
      <c r="E42" s="1047">
        <v>3280000</v>
      </c>
      <c r="F42" s="1044"/>
      <c r="G42" s="835"/>
      <c r="H42" s="835"/>
      <c r="I42" s="836"/>
      <c r="J42" s="835"/>
      <c r="K42" s="2595"/>
      <c r="L42" s="2595"/>
      <c r="M42" s="2595"/>
      <c r="N42" s="2595"/>
      <c r="O42" s="2595"/>
      <c r="P42" s="1073"/>
      <c r="Q42" s="2596"/>
      <c r="R42" s="2596"/>
      <c r="S42" s="819"/>
    </row>
    <row r="43" spans="1:19" ht="15" customHeight="1">
      <c r="A43" s="597"/>
      <c r="B43" s="1004" t="s">
        <v>2472</v>
      </c>
      <c r="C43" s="1004"/>
      <c r="D43" s="814"/>
      <c r="E43" s="1310">
        <v>265000</v>
      </c>
      <c r="F43" s="1044"/>
      <c r="G43" s="835"/>
      <c r="H43" s="835"/>
      <c r="I43" s="836"/>
      <c r="J43" s="835"/>
      <c r="L43" s="835"/>
      <c r="M43" s="833"/>
      <c r="N43" s="833"/>
      <c r="O43" s="833"/>
      <c r="P43" s="782"/>
      <c r="Q43" s="837"/>
      <c r="R43" s="837"/>
      <c r="S43" s="819"/>
    </row>
    <row r="44" spans="1:19" ht="15" customHeight="1">
      <c r="A44" s="597"/>
      <c r="B44" s="1004" t="s">
        <v>2445</v>
      </c>
      <c r="C44" s="1004"/>
      <c r="D44" s="814"/>
      <c r="E44" s="1047">
        <v>2000000</v>
      </c>
      <c r="F44" s="1044"/>
      <c r="G44" s="835"/>
      <c r="H44" s="835"/>
      <c r="I44" s="836"/>
      <c r="K44" s="1328" t="s">
        <v>2108</v>
      </c>
      <c r="P44" s="1073"/>
      <c r="Q44" s="2596"/>
      <c r="R44" s="2596"/>
      <c r="S44" s="819"/>
    </row>
    <row r="45" spans="1:19" ht="15" customHeight="1">
      <c r="A45" s="597"/>
      <c r="B45" s="1004"/>
      <c r="C45" s="1004"/>
      <c r="D45" s="814"/>
      <c r="E45" s="1047"/>
      <c r="F45" s="1044"/>
      <c r="G45" s="835"/>
      <c r="H45" s="835"/>
      <c r="I45" s="836"/>
      <c r="K45" s="1329" t="s">
        <v>2103</v>
      </c>
      <c r="L45" s="1329"/>
      <c r="M45" s="835"/>
      <c r="N45" s="835"/>
      <c r="O45" s="835"/>
      <c r="P45" s="835"/>
      <c r="Q45" s="597"/>
      <c r="R45" s="597"/>
      <c r="S45" s="819"/>
    </row>
    <row r="46" spans="1:19" ht="15" customHeight="1">
      <c r="A46" s="597"/>
      <c r="B46" s="1004"/>
      <c r="C46" s="1004"/>
      <c r="D46" s="814"/>
      <c r="E46" s="1047"/>
      <c r="F46" s="1044"/>
      <c r="G46" s="835"/>
      <c r="H46" s="835"/>
      <c r="I46" s="836"/>
      <c r="J46" s="835"/>
      <c r="K46" s="2588" t="s">
        <v>2104</v>
      </c>
      <c r="L46" s="2588"/>
      <c r="M46" s="2588"/>
      <c r="N46" s="2588"/>
      <c r="O46" s="2588"/>
      <c r="P46" s="819"/>
      <c r="Q46" s="2591"/>
      <c r="R46" s="2591"/>
      <c r="S46" s="819"/>
    </row>
    <row r="47" spans="1:19" ht="15" customHeight="1">
      <c r="A47" s="597"/>
      <c r="B47" s="1004"/>
      <c r="C47" s="1004"/>
      <c r="D47" s="814"/>
      <c r="E47" s="1047"/>
      <c r="F47" s="1044"/>
      <c r="G47" s="835"/>
      <c r="H47" s="835"/>
      <c r="I47" s="836"/>
      <c r="J47" s="835"/>
      <c r="K47" s="2594" t="s">
        <v>2105</v>
      </c>
      <c r="L47" s="2594"/>
      <c r="M47" s="2594"/>
      <c r="N47" s="2594"/>
      <c r="O47" s="2594"/>
      <c r="P47" s="819"/>
      <c r="Q47" s="2593"/>
      <c r="R47" s="2593"/>
      <c r="S47" s="819"/>
    </row>
    <row r="48" spans="1:19" ht="15" customHeight="1">
      <c r="A48" s="597"/>
      <c r="B48" s="1004"/>
      <c r="C48" s="1004"/>
      <c r="D48" s="814"/>
      <c r="E48" s="1047"/>
      <c r="F48" s="1044"/>
      <c r="G48" s="835"/>
      <c r="H48" s="835"/>
      <c r="I48" s="836"/>
      <c r="J48" s="835"/>
      <c r="K48" s="2592" t="s">
        <v>2106</v>
      </c>
      <c r="L48" s="2592"/>
      <c r="M48" s="2592"/>
      <c r="N48" s="2592"/>
      <c r="O48" s="2592"/>
      <c r="P48" s="819"/>
      <c r="Q48" s="2588">
        <f>Q46+Q47</f>
        <v>0</v>
      </c>
      <c r="R48" s="2588"/>
      <c r="S48" s="819"/>
    </row>
    <row r="49" spans="1:29" ht="15" customHeight="1">
      <c r="A49" s="597"/>
      <c r="B49" s="1004"/>
      <c r="C49" s="1004"/>
      <c r="D49" s="814"/>
      <c r="E49" s="1047"/>
      <c r="F49" s="1044"/>
      <c r="G49" s="835"/>
      <c r="H49" s="835"/>
      <c r="I49" s="836"/>
      <c r="J49" s="835"/>
      <c r="K49" s="597"/>
      <c r="L49" s="597"/>
      <c r="M49" s="597"/>
      <c r="N49" s="597"/>
      <c r="O49" s="597"/>
      <c r="P49" s="597"/>
      <c r="Q49" s="597"/>
      <c r="R49" s="597"/>
      <c r="S49" s="819"/>
    </row>
    <row r="50" spans="1:29" ht="15" customHeight="1">
      <c r="A50" s="597"/>
      <c r="B50" s="1000" t="s">
        <v>1916</v>
      </c>
      <c r="C50" s="1000"/>
      <c r="D50" s="1003"/>
      <c r="E50" s="1001">
        <f>'Sources and Uses Budget'!B15</f>
        <v>0</v>
      </c>
      <c r="F50" s="1044"/>
      <c r="G50" s="835"/>
      <c r="H50" s="835"/>
      <c r="I50" s="836"/>
      <c r="J50" s="835"/>
      <c r="K50" s="597"/>
      <c r="L50" s="597"/>
      <c r="M50" s="597"/>
      <c r="N50" s="597"/>
      <c r="O50" s="597"/>
      <c r="P50" s="597"/>
      <c r="Q50" s="597"/>
      <c r="R50" s="597"/>
      <c r="S50" s="819"/>
    </row>
    <row r="51" spans="1:29" ht="15" customHeight="1">
      <c r="A51" s="597"/>
      <c r="B51" s="999" t="s">
        <v>1489</v>
      </c>
      <c r="C51" s="999"/>
      <c r="D51" s="1003"/>
      <c r="E51" s="1001"/>
      <c r="F51" s="1044"/>
      <c r="G51" s="835"/>
      <c r="H51" s="835"/>
      <c r="I51" s="836"/>
      <c r="J51" s="835"/>
      <c r="K51" s="597"/>
      <c r="L51" s="597"/>
      <c r="M51" s="597"/>
      <c r="N51" s="597"/>
      <c r="O51" s="597"/>
      <c r="P51" s="597"/>
      <c r="Q51" s="597"/>
      <c r="R51" s="597"/>
      <c r="S51" s="819"/>
    </row>
    <row r="52" spans="1:29" s="818" customFormat="1" ht="15" customHeight="1">
      <c r="B52" s="2611" t="s">
        <v>1818</v>
      </c>
      <c r="C52" s="2611"/>
      <c r="D52" s="2611"/>
      <c r="E52" s="2611"/>
      <c r="F52" s="1044"/>
      <c r="G52" s="834">
        <f>SUM(E42:E49)-ABS(E50)-ABS(E51)</f>
        <v>5545000</v>
      </c>
      <c r="H52" s="835"/>
      <c r="I52" s="836"/>
      <c r="J52" s="835"/>
    </row>
    <row r="53" spans="1:29" ht="15" customHeight="1">
      <c r="A53" s="597"/>
      <c r="B53" s="819"/>
      <c r="C53" s="840"/>
      <c r="D53" s="840" t="s">
        <v>974</v>
      </c>
      <c r="E53" s="841"/>
      <c r="F53" s="841"/>
      <c r="G53" s="842">
        <f>SUM(G38:G40)+G52</f>
        <v>9932283.5283892676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4"/>
      <c r="C55" s="1044"/>
      <c r="D55" s="1044"/>
      <c r="E55" s="1044"/>
      <c r="F55" s="1044"/>
      <c r="G55" s="1044"/>
      <c r="H55" s="1044"/>
      <c r="I55" s="1044"/>
      <c r="J55" s="1044"/>
      <c r="K55" s="1044"/>
      <c r="L55" s="1044"/>
      <c r="M55" s="1044"/>
      <c r="N55" s="1044"/>
      <c r="O55" s="1044"/>
      <c r="P55" s="1044"/>
      <c r="Q55" s="819"/>
      <c r="R55" s="819"/>
      <c r="S55" s="819"/>
      <c r="U55" s="1257" t="s">
        <v>136</v>
      </c>
      <c r="AC55" s="1257" t="s">
        <v>1078</v>
      </c>
    </row>
    <row r="56" spans="1:29" ht="15" customHeight="1">
      <c r="A56" s="597"/>
      <c r="B56" s="2614" t="s">
        <v>1399</v>
      </c>
      <c r="C56" s="2614"/>
      <c r="D56" s="1044"/>
      <c r="E56" s="1044"/>
      <c r="F56" s="1044"/>
      <c r="G56" s="1044"/>
      <c r="H56" s="1044"/>
      <c r="I56" s="1044"/>
      <c r="J56" s="1044"/>
      <c r="K56" s="1044"/>
      <c r="L56" s="1044"/>
      <c r="M56" s="1044"/>
      <c r="N56" s="1044"/>
      <c r="O56" s="1044"/>
      <c r="P56" s="1044"/>
      <c r="Q56" s="819"/>
      <c r="R56" s="819"/>
      <c r="S56" s="819"/>
      <c r="U56" s="1256" t="s">
        <v>2032</v>
      </c>
      <c r="AC56" s="1309">
        <v>0.2</v>
      </c>
    </row>
    <row r="57" spans="1:29" ht="15" customHeight="1">
      <c r="A57" s="838"/>
      <c r="B57" s="2615" t="s">
        <v>1812</v>
      </c>
      <c r="C57" s="2615"/>
      <c r="D57" s="2615"/>
      <c r="E57" s="2615"/>
      <c r="F57" s="2615"/>
      <c r="G57" s="2615"/>
      <c r="H57" s="2615"/>
      <c r="I57" s="2615"/>
      <c r="J57" s="2615"/>
      <c r="K57" s="2615"/>
      <c r="L57" s="2615"/>
      <c r="M57" s="2615"/>
      <c r="N57" s="2615"/>
      <c r="O57" s="2615"/>
      <c r="P57" s="1044"/>
      <c r="Q57" s="819"/>
      <c r="R57" s="819"/>
      <c r="S57" s="819"/>
      <c r="U57" s="1256" t="s">
        <v>2033</v>
      </c>
      <c r="AC57" s="1309">
        <v>0.1</v>
      </c>
    </row>
    <row r="58" spans="1:29" ht="15" customHeight="1">
      <c r="A58" s="819"/>
      <c r="B58" s="2606" t="s">
        <v>1811</v>
      </c>
      <c r="C58" s="2607"/>
      <c r="D58" s="2607"/>
      <c r="E58" s="2607"/>
      <c r="F58" s="845"/>
      <c r="G58" s="845"/>
      <c r="H58" s="846"/>
      <c r="I58" s="846"/>
      <c r="J58" s="2608">
        <f>('Sources and Uses Budget'!D104+Q47)/('Sources and Uses Budget'!B104+Q48)</f>
        <v>0</v>
      </c>
      <c r="K58" s="2609"/>
      <c r="L58" s="2609"/>
      <c r="M58" s="2609"/>
      <c r="N58" s="2610"/>
      <c r="O58" s="846"/>
      <c r="P58" s="846"/>
      <c r="Q58" s="819"/>
      <c r="R58" s="819"/>
      <c r="S58" s="819"/>
      <c r="U58" s="1256" t="s">
        <v>2034</v>
      </c>
      <c r="AC58" s="1309">
        <v>0.1</v>
      </c>
    </row>
    <row r="59" spans="1:29" ht="15" customHeight="1">
      <c r="A59" s="819"/>
      <c r="B59" s="2616" t="s">
        <v>2037</v>
      </c>
      <c r="C59" s="2616"/>
      <c r="D59" s="2616"/>
      <c r="E59" s="2616"/>
      <c r="F59" s="2616"/>
      <c r="G59" s="2616"/>
      <c r="H59" s="2616"/>
      <c r="I59" s="2616"/>
      <c r="J59" s="2616"/>
      <c r="K59" s="2616"/>
      <c r="L59" s="2616"/>
      <c r="M59" s="2616"/>
      <c r="N59" s="2616"/>
      <c r="O59" s="2616"/>
      <c r="P59" s="846"/>
      <c r="Q59" s="819"/>
      <c r="R59" s="819"/>
      <c r="S59" s="819"/>
      <c r="U59" s="1256" t="s">
        <v>2035</v>
      </c>
      <c r="AC59" s="1309">
        <v>0.05</v>
      </c>
    </row>
    <row r="60" spans="1:29" ht="15" customHeight="1" thickBot="1">
      <c r="A60" s="819"/>
      <c r="B60" s="2616"/>
      <c r="C60" s="2616"/>
      <c r="D60" s="2616"/>
      <c r="E60" s="2616"/>
      <c r="F60" s="2616"/>
      <c r="G60" s="2616"/>
      <c r="H60" s="2616"/>
      <c r="I60" s="2616"/>
      <c r="J60" s="2616"/>
      <c r="K60" s="2616"/>
      <c r="L60" s="2616"/>
      <c r="M60" s="2616"/>
      <c r="N60" s="2616"/>
      <c r="O60" s="2616"/>
      <c r="P60" s="846"/>
      <c r="Q60" s="819"/>
      <c r="R60" s="819"/>
      <c r="S60" s="819"/>
      <c r="U60" s="1257"/>
      <c r="AC60" s="1258"/>
    </row>
    <row r="61" spans="1:29" ht="15" customHeight="1">
      <c r="A61" s="819"/>
      <c r="B61" s="2617" t="s">
        <v>1813</v>
      </c>
      <c r="C61" s="2617"/>
      <c r="D61" s="2617"/>
      <c r="E61" s="2617"/>
      <c r="F61" s="2617"/>
      <c r="G61" s="2617"/>
      <c r="H61" s="2617"/>
      <c r="I61" s="2617"/>
      <c r="J61" s="2617"/>
      <c r="K61" s="2617"/>
      <c r="L61" s="2617"/>
      <c r="M61" s="2617"/>
      <c r="N61" s="2617"/>
      <c r="O61" s="2617"/>
      <c r="P61" s="846"/>
      <c r="Q61" s="819"/>
      <c r="R61" s="819"/>
      <c r="S61" s="819"/>
      <c r="U61" s="258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3"/>
    </row>
    <row r="63" spans="1:29" ht="15" customHeight="1">
      <c r="A63" s="819"/>
      <c r="B63" s="833"/>
      <c r="C63" s="833"/>
      <c r="D63" s="833"/>
      <c r="E63" s="1328"/>
      <c r="F63" s="833"/>
      <c r="G63" s="833"/>
      <c r="H63" s="833"/>
      <c r="I63" s="1266"/>
      <c r="J63" s="2622" t="s">
        <v>2230</v>
      </c>
      <c r="K63" s="2623"/>
      <c r="L63" s="2623"/>
      <c r="M63" s="2623"/>
      <c r="N63" s="2623"/>
      <c r="O63" s="2623"/>
      <c r="P63" s="2623"/>
      <c r="Q63" s="2623"/>
      <c r="R63" s="2623"/>
      <c r="S63" s="819"/>
      <c r="U63" s="2582">
        <f>IF(J67="Non-rural project, Census Tract is High Resource (10 percentage points)",AC57,0)</f>
        <v>0</v>
      </c>
    </row>
    <row r="64" spans="1:29" ht="15" customHeight="1" thickBot="1">
      <c r="A64" s="819"/>
      <c r="B64" s="2618" t="s">
        <v>1823</v>
      </c>
      <c r="C64" s="2618"/>
      <c r="D64" s="833"/>
      <c r="F64" s="833"/>
      <c r="G64" s="1330" t="s">
        <v>2107</v>
      </c>
      <c r="H64" s="833"/>
      <c r="I64" s="1267"/>
      <c r="J64" s="2624"/>
      <c r="K64" s="2625"/>
      <c r="L64" s="2625"/>
      <c r="M64" s="2625"/>
      <c r="N64" s="2625"/>
      <c r="O64" s="2625"/>
      <c r="P64" s="2625"/>
      <c r="Q64" s="2625"/>
      <c r="R64" s="2625"/>
      <c r="S64" s="819"/>
      <c r="U64" s="2583"/>
    </row>
    <row r="65" spans="1:22" ht="15" customHeight="1">
      <c r="A65" s="819"/>
      <c r="B65" s="848" t="s">
        <v>1816</v>
      </c>
      <c r="C65" s="1010" t="str">
        <f>IF(Application!M349="Yes","Yes","No")</f>
        <v>Yes</v>
      </c>
      <c r="E65" s="1331"/>
      <c r="F65" s="1331"/>
      <c r="G65" s="1332" t="s">
        <v>2109</v>
      </c>
      <c r="H65" s="833"/>
      <c r="I65" s="1267"/>
      <c r="J65" s="2624"/>
      <c r="K65" s="2625"/>
      <c r="L65" s="2625"/>
      <c r="M65" s="2625"/>
      <c r="N65" s="2625"/>
      <c r="O65" s="2625"/>
      <c r="P65" s="2625"/>
      <c r="Q65" s="2625"/>
      <c r="R65" s="2625"/>
      <c r="S65" s="819"/>
      <c r="U65" s="2582">
        <f>IF(J67="Rural project, Census Tract is Highest Resource (10 percentage points)",AC58,0)</f>
        <v>0</v>
      </c>
    </row>
    <row r="66" spans="1:22" ht="15" customHeight="1" thickBot="1">
      <c r="A66" s="819"/>
      <c r="B66" s="849" t="s">
        <v>1900</v>
      </c>
      <c r="C66" s="1011">
        <f>Application!AG430-Application!AG431</f>
        <v>63</v>
      </c>
      <c r="D66" s="1331"/>
      <c r="E66" s="849" t="s">
        <v>2110</v>
      </c>
      <c r="F66" s="1331"/>
      <c r="G66" s="1057"/>
      <c r="H66" s="850"/>
      <c r="I66" s="1268"/>
      <c r="J66" s="2624"/>
      <c r="K66" s="2625"/>
      <c r="L66" s="2625"/>
      <c r="M66" s="2625"/>
      <c r="N66" s="2625"/>
      <c r="O66" s="2625"/>
      <c r="P66" s="2625"/>
      <c r="Q66" s="2625"/>
      <c r="R66" s="2625"/>
      <c r="S66" s="819"/>
      <c r="U66" s="2583"/>
    </row>
    <row r="67" spans="1:22" ht="15" customHeight="1">
      <c r="A67" s="819"/>
      <c r="B67" s="849" t="s">
        <v>1810</v>
      </c>
      <c r="C67" s="1012">
        <f>MIN(IF(AND(C65="Yes",G67&gt;=50),(0.75+(G67/200)),1),1.5)</f>
        <v>1.0649999999999999</v>
      </c>
      <c r="D67" s="850"/>
      <c r="E67" s="849" t="s">
        <v>1901</v>
      </c>
      <c r="G67" s="1011">
        <f>C66+G66</f>
        <v>63</v>
      </c>
      <c r="H67" s="850"/>
      <c r="I67" s="1268"/>
      <c r="J67" s="2621" t="s">
        <v>136</v>
      </c>
      <c r="K67" s="2621"/>
      <c r="L67" s="2621"/>
      <c r="M67" s="2621"/>
      <c r="N67" s="2621"/>
      <c r="O67" s="2621"/>
      <c r="P67" s="2621"/>
      <c r="Q67" s="2621"/>
      <c r="R67" s="2621"/>
      <c r="S67" s="819"/>
      <c r="U67" s="2582">
        <f>IF(J67="Rural project, Census Tract is High Resource (5 percentage points)",AC59,0)</f>
        <v>0</v>
      </c>
    </row>
    <row r="68" spans="1:22" ht="15" customHeight="1" thickBot="1">
      <c r="A68" s="819"/>
      <c r="B68" s="825"/>
      <c r="C68" s="825"/>
      <c r="D68" s="825"/>
      <c r="E68" s="825"/>
      <c r="F68" s="825"/>
      <c r="G68" s="825"/>
      <c r="H68" s="825"/>
      <c r="I68" s="1269"/>
      <c r="J68" s="825"/>
      <c r="K68" s="825"/>
      <c r="L68" s="825"/>
      <c r="M68" s="825"/>
      <c r="N68" s="825"/>
      <c r="O68" s="825"/>
      <c r="P68" s="825"/>
      <c r="Q68" s="825"/>
      <c r="R68" s="825"/>
      <c r="S68" s="819"/>
      <c r="U68" s="2583"/>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6">
        <f>SUM(U61:U68)</f>
        <v>0</v>
      </c>
    </row>
    <row r="70" spans="1:22" ht="15" customHeight="1" thickBot="1">
      <c r="A70" s="819"/>
      <c r="B70" s="2619" t="s">
        <v>1820</v>
      </c>
      <c r="C70" s="2619"/>
      <c r="D70" s="820"/>
      <c r="E70" s="820"/>
      <c r="F70" s="820"/>
      <c r="G70" s="820"/>
      <c r="H70" s="819"/>
      <c r="I70" s="819"/>
      <c r="J70" s="819"/>
      <c r="K70" s="819"/>
      <c r="L70" s="819"/>
      <c r="M70" s="819"/>
      <c r="N70" s="819"/>
      <c r="O70" s="819"/>
      <c r="P70" s="819"/>
      <c r="Q70" s="819"/>
      <c r="R70" s="819"/>
      <c r="S70" s="819"/>
      <c r="U70" s="2587"/>
      <c r="V70" s="638" t="s">
        <v>2036</v>
      </c>
    </row>
    <row r="71" spans="1:22" ht="15" customHeight="1">
      <c r="A71" s="819"/>
      <c r="B71" s="2620" t="s">
        <v>1824</v>
      </c>
      <c r="C71" s="2620"/>
      <c r="D71" s="2620"/>
      <c r="E71" s="820"/>
      <c r="F71" s="820"/>
      <c r="G71" s="834">
        <f>G53*(1-J58)</f>
        <v>9932283.5283892676</v>
      </c>
      <c r="H71" s="819"/>
      <c r="I71" s="819"/>
      <c r="J71" s="852"/>
      <c r="K71" s="1164" t="s">
        <v>1826</v>
      </c>
      <c r="L71" s="1164"/>
      <c r="M71" s="1164"/>
      <c r="N71" s="1164"/>
      <c r="O71" s="1164"/>
      <c r="P71" s="819"/>
      <c r="Q71" s="2588">
        <f>'Basis &amp; Credits'!T23+'Basis &amp; Credits'!Y23+'Basis &amp; Credits'!AD23+'Basis &amp; Credits'!AI23</f>
        <v>23786830</v>
      </c>
      <c r="R71" s="2588"/>
      <c r="S71" s="819"/>
    </row>
    <row r="72" spans="1:22" ht="15" customHeight="1">
      <c r="A72" s="819"/>
      <c r="B72" s="2626" t="s">
        <v>1825</v>
      </c>
      <c r="C72" s="2626"/>
      <c r="D72" s="2626"/>
      <c r="E72" s="820"/>
      <c r="F72" s="820"/>
      <c r="G72" s="834">
        <f>G71*C67</f>
        <v>10577881.95773457</v>
      </c>
      <c r="H72" s="819"/>
      <c r="I72" s="819"/>
      <c r="J72" s="852"/>
      <c r="K72" s="1270"/>
      <c r="L72" s="1270"/>
      <c r="M72" s="1270"/>
      <c r="N72" s="1270"/>
      <c r="O72" s="1270"/>
      <c r="P72" s="819"/>
      <c r="Q72" s="2596"/>
      <c r="R72" s="2596"/>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27">
        <f>$G$72</f>
        <v>10577881.95773457</v>
      </c>
      <c r="C75" s="2628"/>
      <c r="D75" s="2628"/>
      <c r="E75" s="2628"/>
      <c r="F75" s="2628"/>
      <c r="G75" s="2628"/>
      <c r="H75" s="853"/>
      <c r="I75" s="2601" t="s">
        <v>155</v>
      </c>
      <c r="J75" s="2602" t="s">
        <v>1096</v>
      </c>
      <c r="K75" s="2601">
        <v>1</v>
      </c>
      <c r="L75" s="819"/>
      <c r="M75" s="825"/>
      <c r="N75" s="851"/>
      <c r="O75" s="1059">
        <f>$Q$71</f>
        <v>23786830</v>
      </c>
      <c r="P75" s="2602" t="s">
        <v>2229</v>
      </c>
      <c r="Q75" s="2629" t="s">
        <v>154</v>
      </c>
      <c r="R75" s="2584">
        <f>((B75/B76)+((1-(O75/O76))/2))+U69</f>
        <v>0.46612554537942985</v>
      </c>
    </row>
    <row r="76" spans="1:22" ht="15" customHeight="1" thickBot="1">
      <c r="A76" s="819"/>
      <c r="B76" s="2630">
        <f>'Sources and Uses Budget'!$C$104+$Q$46-($E$50+$E$51)*(1-$J$58)</f>
        <v>38835549</v>
      </c>
      <c r="C76" s="2631"/>
      <c r="D76" s="2631"/>
      <c r="E76" s="2631"/>
      <c r="F76" s="2631"/>
      <c r="G76" s="2630"/>
      <c r="H76" s="819"/>
      <c r="I76" s="2601"/>
      <c r="J76" s="2602"/>
      <c r="K76" s="2601"/>
      <c r="L76" s="819"/>
      <c r="M76" s="1040"/>
      <c r="N76" s="819"/>
      <c r="O76" s="1058">
        <f>B76</f>
        <v>38835549</v>
      </c>
      <c r="P76" s="2602"/>
      <c r="Q76" s="2629"/>
      <c r="R76" s="258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3"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3"/>
      <c r="D80" s="1163"/>
      <c r="E80" s="1163"/>
      <c r="F80" s="1163"/>
      <c r="G80" s="1163"/>
      <c r="H80" s="1163"/>
      <c r="I80" s="1163"/>
      <c r="J80" s="1163"/>
      <c r="K80" s="1163"/>
      <c r="L80" s="1163"/>
      <c r="M80" s="1163"/>
      <c r="N80" s="1163"/>
      <c r="O80" s="1163"/>
      <c r="P80" s="819"/>
      <c r="Q80" s="819"/>
      <c r="R80" s="819"/>
      <c r="S80" s="819"/>
    </row>
    <row r="81" spans="1:19" ht="15" customHeight="1">
      <c r="A81" s="819"/>
      <c r="B81" s="796" t="s">
        <v>2101</v>
      </c>
      <c r="C81" s="1046"/>
      <c r="D81" s="1046"/>
      <c r="E81" s="1046"/>
      <c r="F81" s="1046"/>
      <c r="G81" s="819"/>
      <c r="H81" s="1046"/>
      <c r="I81" s="836"/>
      <c r="J81" s="1046"/>
      <c r="K81" s="796" t="s">
        <v>2102</v>
      </c>
      <c r="L81" s="1046"/>
      <c r="M81" s="1046"/>
      <c r="N81" s="1046"/>
      <c r="O81" s="1046"/>
      <c r="P81" s="819"/>
      <c r="Q81" s="819"/>
      <c r="R81" s="819"/>
      <c r="S81" s="819"/>
    </row>
    <row r="82" spans="1:19" ht="15" customHeight="1">
      <c r="A82" s="819"/>
      <c r="B82" s="1287" t="s">
        <v>2042</v>
      </c>
      <c r="C82" s="1276"/>
      <c r="D82" s="1271"/>
      <c r="E82" s="1276"/>
      <c r="F82" s="1276"/>
      <c r="G82" s="1278"/>
      <c r="H82" s="819"/>
      <c r="I82" s="836"/>
      <c r="J82" s="819"/>
      <c r="L82" s="819"/>
      <c r="M82" s="819"/>
      <c r="N82" s="819"/>
      <c r="O82" s="819"/>
      <c r="P82" s="819"/>
      <c r="Q82" s="819"/>
      <c r="R82" s="819"/>
      <c r="S82" s="819"/>
    </row>
    <row r="83" spans="1:19" ht="15" customHeight="1">
      <c r="A83" s="819"/>
      <c r="B83" s="1285" t="s">
        <v>2045</v>
      </c>
      <c r="C83" s="1276"/>
      <c r="D83" s="1277"/>
      <c r="E83" s="1274"/>
      <c r="F83" s="1274"/>
      <c r="G83" s="1278"/>
      <c r="H83" s="819"/>
      <c r="I83" s="836"/>
      <c r="J83" s="819"/>
      <c r="K83" s="1259" t="s">
        <v>1902</v>
      </c>
      <c r="L83" s="819"/>
      <c r="M83" s="819"/>
      <c r="N83" s="819"/>
      <c r="O83" s="819"/>
      <c r="P83" s="819"/>
      <c r="Q83" s="819"/>
      <c r="R83" s="819"/>
      <c r="S83" s="819"/>
    </row>
    <row r="84" spans="1:19" ht="15" customHeight="1">
      <c r="A84" s="819"/>
      <c r="B84" s="1286" t="s">
        <v>2183</v>
      </c>
      <c r="C84" s="1279"/>
      <c r="D84" s="1280"/>
      <c r="E84" s="1272"/>
      <c r="F84" s="1272"/>
      <c r="G84" s="1281"/>
      <c r="H84" s="819"/>
      <c r="I84" s="836"/>
      <c r="J84" s="819"/>
      <c r="K84" s="1259" t="s">
        <v>1833</v>
      </c>
      <c r="L84" s="1160"/>
      <c r="M84" s="1160"/>
      <c r="N84" s="1160"/>
      <c r="O84" s="1160"/>
      <c r="P84" s="1160"/>
      <c r="Q84" s="2591">
        <f>'Service Amenities Budget'!G23</f>
        <v>130899</v>
      </c>
      <c r="R84" s="2591"/>
      <c r="S84" s="819"/>
    </row>
    <row r="85" spans="1:19" ht="15" customHeight="1">
      <c r="A85" s="819"/>
      <c r="B85" s="1286" t="s">
        <v>2041</v>
      </c>
      <c r="C85" s="1282"/>
      <c r="D85" s="1283"/>
      <c r="E85" s="1275"/>
      <c r="F85" s="1275"/>
      <c r="G85" s="1284"/>
      <c r="H85" s="819"/>
      <c r="I85" s="836"/>
      <c r="J85" s="819"/>
      <c r="L85" s="1161"/>
      <c r="M85" s="1161"/>
      <c r="N85" s="1161"/>
      <c r="O85" s="1161"/>
      <c r="P85" s="1161"/>
      <c r="S85" s="819"/>
    </row>
    <row r="86" spans="1:19" ht="15" customHeight="1">
      <c r="A86" s="819"/>
      <c r="B86" s="1287" t="s">
        <v>2125</v>
      </c>
      <c r="C86" s="1279"/>
      <c r="D86" s="1280"/>
      <c r="E86" s="1272"/>
      <c r="F86" s="1272"/>
      <c r="G86" s="1273"/>
      <c r="H86" s="819"/>
      <c r="I86" s="836"/>
      <c r="J86" s="819"/>
      <c r="L86" s="1162"/>
      <c r="M86" s="1162"/>
      <c r="N86" s="1162"/>
      <c r="O86" s="1338" t="s">
        <v>1128</v>
      </c>
      <c r="P86" s="1162"/>
      <c r="Q86" s="819"/>
      <c r="R86" s="597"/>
      <c r="S86" s="819"/>
    </row>
    <row r="87" spans="1:19" ht="15" customHeight="1">
      <c r="A87" s="819"/>
      <c r="B87" s="1287" t="s">
        <v>2210</v>
      </c>
      <c r="C87" s="1282"/>
      <c r="D87" s="1271"/>
      <c r="E87" s="1276"/>
      <c r="F87" s="1276"/>
      <c r="G87" s="1343"/>
      <c r="H87" s="819"/>
      <c r="I87" s="836"/>
      <c r="J87" s="819"/>
      <c r="S87" s="819"/>
    </row>
    <row r="88" spans="1:19" ht="15" customHeight="1">
      <c r="A88" s="819"/>
      <c r="B88" s="1339"/>
      <c r="C88" s="1340"/>
      <c r="D88" s="1341"/>
      <c r="E88" s="1342" t="s">
        <v>2040</v>
      </c>
      <c r="F88" s="1274"/>
      <c r="G88" s="1274" t="s">
        <v>1097</v>
      </c>
      <c r="H88" s="819"/>
      <c r="I88" s="836"/>
      <c r="J88" s="819"/>
      <c r="K88" s="1260" t="s">
        <v>1832</v>
      </c>
      <c r="L88" s="1160"/>
      <c r="M88" s="1160"/>
      <c r="N88" s="1160"/>
      <c r="O88" s="1160"/>
      <c r="P88" s="1160"/>
      <c r="Q88" s="819"/>
      <c r="R88" s="597"/>
      <c r="S88" s="819"/>
    </row>
    <row r="89" spans="1:19" ht="15" customHeight="1">
      <c r="A89" s="819"/>
      <c r="B89" s="854" t="s">
        <v>1090</v>
      </c>
      <c r="C89" s="855" t="s">
        <v>1091</v>
      </c>
      <c r="D89" s="1288" t="s">
        <v>2043</v>
      </c>
      <c r="E89" s="1288" t="s">
        <v>2126</v>
      </c>
      <c r="F89" s="856"/>
      <c r="G89" s="856" t="s">
        <v>2044</v>
      </c>
      <c r="H89" s="819"/>
      <c r="I89" s="836"/>
      <c r="J89" s="819"/>
      <c r="K89" s="1260" t="s">
        <v>1834</v>
      </c>
      <c r="L89" s="1161"/>
      <c r="M89" s="1161"/>
      <c r="N89" s="1161"/>
      <c r="O89" s="1161"/>
      <c r="P89" s="1161"/>
      <c r="Q89" s="2591"/>
      <c r="R89" s="2591"/>
      <c r="S89" s="819"/>
    </row>
    <row r="90" spans="1:19" ht="15" customHeight="1">
      <c r="A90" s="597"/>
      <c r="B90" s="797" t="s">
        <v>2473</v>
      </c>
      <c r="C90" s="798">
        <v>25</v>
      </c>
      <c r="D90" s="799">
        <v>633</v>
      </c>
      <c r="E90" s="800">
        <v>1466</v>
      </c>
      <c r="F90" s="864"/>
      <c r="G90" s="857">
        <f>MAX(($E90-$D90)*$C90*12,0)</f>
        <v>249900</v>
      </c>
      <c r="H90" s="819"/>
      <c r="I90" s="836"/>
      <c r="J90" s="819"/>
      <c r="K90" s="1260" t="s">
        <v>1835</v>
      </c>
      <c r="L90" s="1161"/>
      <c r="M90" s="1161"/>
      <c r="N90" s="1161"/>
      <c r="O90" s="1161"/>
      <c r="P90" s="1161"/>
      <c r="Q90" s="2632"/>
      <c r="R90" s="2632"/>
      <c r="S90" s="819"/>
    </row>
    <row r="91" spans="1:19" ht="15" customHeight="1">
      <c r="A91" s="597"/>
      <c r="B91" s="797" t="s">
        <v>2474</v>
      </c>
      <c r="C91" s="798">
        <v>3</v>
      </c>
      <c r="D91" s="799">
        <v>760</v>
      </c>
      <c r="E91" s="800">
        <v>1781</v>
      </c>
      <c r="F91" s="864"/>
      <c r="G91" s="857">
        <f t="shared" ref="G91:G97" si="0">MAX(($E91-$D91)*$C91*12,0)</f>
        <v>36756</v>
      </c>
      <c r="H91" s="819"/>
      <c r="I91" s="836"/>
      <c r="J91" s="819"/>
      <c r="K91" s="1260" t="s">
        <v>1839</v>
      </c>
      <c r="L91" s="1161"/>
      <c r="M91" s="1161"/>
      <c r="N91" s="1161"/>
      <c r="O91" s="1161"/>
      <c r="P91" s="1161"/>
      <c r="Q91" s="2594">
        <f>IFERROR(Q89/Q90,0)</f>
        <v>0</v>
      </c>
      <c r="R91" s="2594"/>
      <c r="S91" s="819"/>
    </row>
    <row r="92" spans="1:19" ht="15" customHeight="1">
      <c r="A92" s="597"/>
      <c r="B92" s="797" t="s">
        <v>2475</v>
      </c>
      <c r="C92" s="798">
        <v>3</v>
      </c>
      <c r="D92" s="799">
        <v>878</v>
      </c>
      <c r="E92" s="800">
        <v>2374</v>
      </c>
      <c r="F92" s="864"/>
      <c r="G92" s="857">
        <f t="shared" si="0"/>
        <v>53856</v>
      </c>
      <c r="H92" s="819"/>
      <c r="I92" s="836"/>
      <c r="J92" s="819"/>
      <c r="S92" s="819"/>
    </row>
    <row r="93" spans="1:19" ht="15" customHeight="1">
      <c r="A93" s="597"/>
      <c r="B93" s="797"/>
      <c r="C93" s="798"/>
      <c r="D93" s="799"/>
      <c r="E93" s="800"/>
      <c r="F93" s="864"/>
      <c r="G93" s="857">
        <f t="shared" si="0"/>
        <v>0</v>
      </c>
      <c r="H93" s="819"/>
      <c r="I93" s="836"/>
      <c r="J93" s="819"/>
      <c r="K93" s="1261" t="s">
        <v>1840</v>
      </c>
      <c r="L93" s="1159"/>
      <c r="M93" s="1159"/>
      <c r="N93" s="1159"/>
      <c r="O93" s="1159"/>
      <c r="P93" s="1159"/>
      <c r="Q93" s="2588">
        <f>MAX(Q84,Q91)</f>
        <v>130899</v>
      </c>
      <c r="R93" s="2588"/>
      <c r="S93" s="819"/>
    </row>
    <row r="94" spans="1:19" ht="15" customHeight="1">
      <c r="A94" s="597"/>
      <c r="B94" s="797"/>
      <c r="C94" s="798"/>
      <c r="D94" s="799"/>
      <c r="E94" s="800"/>
      <c r="F94" s="864"/>
      <c r="G94" s="857">
        <f t="shared" si="0"/>
        <v>0</v>
      </c>
      <c r="H94" s="819"/>
      <c r="I94" s="836"/>
      <c r="J94" s="819"/>
      <c r="K94" s="1261"/>
      <c r="L94" s="1159"/>
      <c r="M94" s="1159"/>
      <c r="N94" s="1159"/>
      <c r="O94" s="1159"/>
      <c r="P94" s="1159"/>
      <c r="Q94" s="1334"/>
      <c r="R94" s="1334"/>
      <c r="S94" s="819"/>
    </row>
    <row r="95" spans="1:19" ht="15" customHeight="1">
      <c r="A95" s="597"/>
      <c r="B95" s="797"/>
      <c r="C95" s="798"/>
      <c r="D95" s="799"/>
      <c r="E95" s="800"/>
      <c r="F95" s="864"/>
      <c r="G95" s="857">
        <f t="shared" si="0"/>
        <v>0</v>
      </c>
      <c r="H95" s="819"/>
      <c r="I95" s="836"/>
      <c r="J95" s="819"/>
      <c r="K95" s="1261"/>
      <c r="L95" s="1159"/>
      <c r="M95" s="1159"/>
      <c r="N95" s="1159"/>
      <c r="O95" s="1159"/>
      <c r="P95" s="1159"/>
      <c r="Q95" s="1334"/>
      <c r="R95" s="1334"/>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5" t="s">
        <v>1938</v>
      </c>
      <c r="F98" s="1045"/>
      <c r="G98" s="1089">
        <f>SUM(G90:G97)</f>
        <v>340512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8">
        <f>G98+Q93</f>
        <v>471411</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8">
        <f>D100-(D100*D101)</f>
        <v>447840.45</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8">
        <f>D102/D108</f>
        <v>389426.47826086963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5">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09">
        <f>PV(D107/12,D106*12,-D104/12, ,0)</f>
        <v>4387283.5283892676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XFC217"/>
  <sheetViews>
    <sheetView view="pageBreakPreview" zoomScale="85" zoomScaleNormal="100" zoomScaleSheetLayoutView="85" workbookViewId="0">
      <selection activeCell="E49" sqref="E49"/>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Application!Y777</f>
        <v>791714.39999999991</v>
      </c>
      <c r="F4" s="610"/>
      <c r="G4" s="610">
        <f>E4*$C$4</f>
        <v>811507.25999999978</v>
      </c>
      <c r="H4" s="610"/>
      <c r="I4" s="610">
        <f>G4*$C$4</f>
        <v>831794.94149999972</v>
      </c>
      <c r="J4" s="610"/>
      <c r="K4" s="610">
        <f>I4*$C$4</f>
        <v>852589.81503749965</v>
      </c>
      <c r="L4" s="610"/>
      <c r="M4" s="610">
        <f>K4*$C$4</f>
        <v>873904.56041343708</v>
      </c>
      <c r="N4" s="610"/>
      <c r="O4" s="610">
        <f>M4*$C$4</f>
        <v>895752.17442377296</v>
      </c>
      <c r="P4" s="610"/>
      <c r="Q4" s="610">
        <f>O4*$C$4</f>
        <v>918145.97878436721</v>
      </c>
      <c r="R4" s="610"/>
      <c r="S4" s="610">
        <f>Q4*$C$4</f>
        <v>941099.62825397635</v>
      </c>
      <c r="T4" s="610"/>
      <c r="U4" s="610">
        <f>S4*$C$4</f>
        <v>964627.11896032572</v>
      </c>
      <c r="V4" s="610"/>
      <c r="W4" s="610">
        <f>U4*$C$4</f>
        <v>988742.79693433375</v>
      </c>
      <c r="X4" s="610"/>
      <c r="Y4" s="610">
        <f>W4*$C$4</f>
        <v>1013461.366857692</v>
      </c>
      <c r="Z4" s="610"/>
      <c r="AA4" s="610">
        <f>Y4*$C$4</f>
        <v>1038797.9010291343</v>
      </c>
      <c r="AB4" s="610"/>
      <c r="AC4" s="610">
        <f>AA4*$C$4</f>
        <v>1064767.8485548627</v>
      </c>
      <c r="AD4" s="610"/>
      <c r="AE4" s="610">
        <f>AC4*$C$4</f>
        <v>1091387.0447687341</v>
      </c>
      <c r="AF4" s="610"/>
      <c r="AG4" s="610">
        <f>AE4*$C$4</f>
        <v>1118671.7208879525</v>
      </c>
      <c r="AH4" s="610"/>
    </row>
    <row r="5" spans="1:34" ht="13.8">
      <c r="A5" s="600"/>
      <c r="B5" s="600" t="s">
        <v>1092</v>
      </c>
      <c r="C5" s="635">
        <f>(31*10%+31*5%)/62</f>
        <v>7.5000000000000011E-2</v>
      </c>
      <c r="D5" s="600"/>
      <c r="E5" s="612">
        <f>-E4*$C$5</f>
        <v>-59378.58</v>
      </c>
      <c r="F5" s="612"/>
      <c r="G5" s="612">
        <f>-G4*$C$5</f>
        <v>-60863.044499999989</v>
      </c>
      <c r="H5" s="612"/>
      <c r="I5" s="612">
        <f>-I4*$C$5</f>
        <v>-62384.620612499988</v>
      </c>
      <c r="J5" s="612"/>
      <c r="K5" s="612">
        <f>-K4*$C$5</f>
        <v>-63944.236127812481</v>
      </c>
      <c r="L5" s="612"/>
      <c r="M5" s="612">
        <f>-M4*$C$5</f>
        <v>-65542.842031007793</v>
      </c>
      <c r="N5" s="612"/>
      <c r="O5" s="612">
        <f>-O4*$C$5</f>
        <v>-67181.413081782986</v>
      </c>
      <c r="P5" s="612"/>
      <c r="Q5" s="612">
        <f>-Q4*$C$5</f>
        <v>-68860.948408827549</v>
      </c>
      <c r="R5" s="612"/>
      <c r="S5" s="612">
        <f>-S4*$C$5</f>
        <v>-70582.472119048238</v>
      </c>
      <c r="T5" s="612"/>
      <c r="U5" s="612">
        <f>-U4*$C$5</f>
        <v>-72347.033922024435</v>
      </c>
      <c r="V5" s="612"/>
      <c r="W5" s="612">
        <f>-W4*$C$5</f>
        <v>-74155.709770075046</v>
      </c>
      <c r="X5" s="612"/>
      <c r="Y5" s="612">
        <f>-Y4*$C$5</f>
        <v>-76009.602514326907</v>
      </c>
      <c r="Z5" s="612"/>
      <c r="AA5" s="612">
        <f>-AA4*$C$5</f>
        <v>-77909.842577185089</v>
      </c>
      <c r="AB5" s="612"/>
      <c r="AC5" s="612">
        <f>-AC4*$C$5</f>
        <v>-79857.588641614711</v>
      </c>
      <c r="AD5" s="612"/>
      <c r="AE5" s="612">
        <f>-AE4*$C$5</f>
        <v>-81854.028357655072</v>
      </c>
      <c r="AF5" s="612"/>
      <c r="AG5" s="612">
        <f>-AG4*$C$5</f>
        <v>-83900.379066596448</v>
      </c>
      <c r="AH5" s="600"/>
    </row>
    <row r="6" spans="1:34" ht="13.8">
      <c r="A6" s="600" t="s">
        <v>1191</v>
      </c>
      <c r="B6" s="600"/>
      <c r="C6" s="634">
        <v>1.0249999999999999</v>
      </c>
      <c r="D6" s="600"/>
      <c r="E6" s="613">
        <f>Application!Z785</f>
        <v>367550.4</v>
      </c>
      <c r="F6" s="613"/>
      <c r="G6" s="613">
        <f>E6*$C$6</f>
        <v>376739.16</v>
      </c>
      <c r="H6" s="613"/>
      <c r="I6" s="613">
        <f>G6*$C$6</f>
        <v>386157.63899999997</v>
      </c>
      <c r="J6" s="613"/>
      <c r="K6" s="613">
        <f>I6*$C$6</f>
        <v>395811.57997499994</v>
      </c>
      <c r="L6" s="613"/>
      <c r="M6" s="613">
        <f>K6*$C$6</f>
        <v>405706.86947437492</v>
      </c>
      <c r="N6" s="613"/>
      <c r="O6" s="613">
        <f>M6*$C$6</f>
        <v>415849.54121123423</v>
      </c>
      <c r="P6" s="613"/>
      <c r="Q6" s="613">
        <f>O6*$C$6</f>
        <v>426245.77974151506</v>
      </c>
      <c r="R6" s="613"/>
      <c r="S6" s="613">
        <f>Q6*$C$6</f>
        <v>436901.92423505289</v>
      </c>
      <c r="T6" s="613"/>
      <c r="U6" s="613">
        <f>S6*$C$6</f>
        <v>447824.47234092921</v>
      </c>
      <c r="V6" s="613"/>
      <c r="W6" s="613">
        <f>U6*$C$6</f>
        <v>459020.08414945239</v>
      </c>
      <c r="X6" s="613"/>
      <c r="Y6" s="613">
        <f>W6*$C$6</f>
        <v>470495.58625318867</v>
      </c>
      <c r="Z6" s="613"/>
      <c r="AA6" s="613">
        <f>Y6*$C$6</f>
        <v>482257.97590951837</v>
      </c>
      <c r="AB6" s="613"/>
      <c r="AC6" s="613">
        <f>AA6*$C$6</f>
        <v>494314.42530725629</v>
      </c>
      <c r="AD6" s="613"/>
      <c r="AE6" s="613">
        <f>AC6*$C$6</f>
        <v>506672.28593993763</v>
      </c>
      <c r="AF6" s="613"/>
      <c r="AG6" s="613">
        <f>AE6*$C$6</f>
        <v>519339.09308843606</v>
      </c>
      <c r="AH6" s="600"/>
    </row>
    <row r="7" spans="1:34" ht="13.8">
      <c r="A7" s="600"/>
      <c r="B7" s="600" t="s">
        <v>1092</v>
      </c>
      <c r="C7" s="635">
        <f>C5</f>
        <v>7.5000000000000011E-2</v>
      </c>
      <c r="D7" s="600"/>
      <c r="E7" s="612">
        <f>-E6*$C$7</f>
        <v>-27566.280000000006</v>
      </c>
      <c r="F7" s="612"/>
      <c r="G7" s="612">
        <f>-G6*$C$7</f>
        <v>-28255.437000000002</v>
      </c>
      <c r="H7" s="612"/>
      <c r="I7" s="612">
        <f>-I6*$C$7</f>
        <v>-28961.822925</v>
      </c>
      <c r="J7" s="612"/>
      <c r="K7" s="612">
        <f>-K6*$C$7</f>
        <v>-29685.868498125001</v>
      </c>
      <c r="L7" s="612"/>
      <c r="M7" s="612">
        <f>-M6*$C$7</f>
        <v>-30428.015210578124</v>
      </c>
      <c r="N7" s="612"/>
      <c r="O7" s="612">
        <f>-O6*$C$7</f>
        <v>-31188.71559084257</v>
      </c>
      <c r="P7" s="612"/>
      <c r="Q7" s="612">
        <f>-Q6*$C$7</f>
        <v>-31968.433480613636</v>
      </c>
      <c r="R7" s="612"/>
      <c r="S7" s="612">
        <f>-S6*$C$7</f>
        <v>-32767.644317628972</v>
      </c>
      <c r="T7" s="612"/>
      <c r="U7" s="612">
        <f>-U6*$C$7</f>
        <v>-33586.835425569698</v>
      </c>
      <c r="V7" s="612"/>
      <c r="W7" s="612">
        <f>-W6*$C$7</f>
        <v>-34426.506311208934</v>
      </c>
      <c r="X7" s="612"/>
      <c r="Y7" s="612">
        <f>-Y6*$C$7</f>
        <v>-35287.168968989157</v>
      </c>
      <c r="Z7" s="612"/>
      <c r="AA7" s="612">
        <f>-AA6*$C$7</f>
        <v>-36169.348193213882</v>
      </c>
      <c r="AB7" s="612"/>
      <c r="AC7" s="612">
        <f>-AC6*$C$7</f>
        <v>-37073.581898044227</v>
      </c>
      <c r="AD7" s="612"/>
      <c r="AE7" s="612">
        <f>-AE6*$C$7</f>
        <v>-38000.421445495325</v>
      </c>
      <c r="AF7" s="612"/>
      <c r="AG7" s="612">
        <f>-AG6*$C$7</f>
        <v>-38950.431981632712</v>
      </c>
      <c r="AH7" s="600"/>
    </row>
    <row r="8" spans="1:34" s="1379" customFormat="1" ht="13.8">
      <c r="A8" s="600" t="s">
        <v>2469</v>
      </c>
      <c r="B8" s="600"/>
      <c r="C8" s="634">
        <v>1.0249999999999999</v>
      </c>
      <c r="D8" s="600"/>
      <c r="E8" s="613">
        <v>167400</v>
      </c>
      <c r="F8" s="612"/>
      <c r="G8" s="613">
        <f>E8*$C8</f>
        <v>171584.99999999997</v>
      </c>
      <c r="H8" s="612"/>
      <c r="I8" s="613">
        <f t="shared" ref="I8" si="0">G8*$C8</f>
        <v>175874.62499999994</v>
      </c>
      <c r="J8" s="612"/>
      <c r="K8" s="613">
        <f t="shared" ref="K8" si="1">I8*$C8</f>
        <v>180271.49062499992</v>
      </c>
      <c r="L8" s="612"/>
      <c r="M8" s="613">
        <f t="shared" ref="M8" si="2">K8*$C8</f>
        <v>184778.27789062489</v>
      </c>
      <c r="N8" s="612"/>
      <c r="O8" s="613">
        <f t="shared" ref="O8" si="3">M8*$C8</f>
        <v>189397.73483789049</v>
      </c>
      <c r="P8" s="612"/>
      <c r="Q8" s="613">
        <f t="shared" ref="Q8" si="4">O8*$C8</f>
        <v>194132.67820883772</v>
      </c>
      <c r="R8" s="612"/>
      <c r="S8" s="613">
        <f t="shared" ref="S8" si="5">Q8*$C8</f>
        <v>198985.99516405864</v>
      </c>
      <c r="T8" s="612"/>
      <c r="U8" s="613">
        <f t="shared" ref="U8" si="6">S8*$C8</f>
        <v>203960.6450431601</v>
      </c>
      <c r="V8" s="612"/>
      <c r="W8" s="613">
        <f t="shared" ref="W8" si="7">U8*$C8</f>
        <v>209059.66116923909</v>
      </c>
      <c r="X8" s="612"/>
      <c r="Y8" s="613">
        <f t="shared" ref="Y8" si="8">W8*$C8</f>
        <v>214286.15269847005</v>
      </c>
      <c r="Z8" s="612"/>
      <c r="AA8" s="613">
        <f t="shared" ref="AA8" si="9">Y8*$C8</f>
        <v>219643.30651593179</v>
      </c>
      <c r="AB8" s="612"/>
      <c r="AC8" s="613">
        <f t="shared" ref="AC8" si="10">AA8*$C8</f>
        <v>225134.38917883005</v>
      </c>
      <c r="AD8" s="612"/>
      <c r="AE8" s="613">
        <f t="shared" ref="AE8" si="11">AC8*$C8</f>
        <v>230762.7489083008</v>
      </c>
      <c r="AF8" s="612"/>
      <c r="AG8" s="613">
        <f t="shared" ref="AG8" si="12">AE8*$C8</f>
        <v>236531.81763100831</v>
      </c>
      <c r="AH8" s="600"/>
    </row>
    <row r="9" spans="1:34" ht="13.8">
      <c r="A9" s="600" t="s">
        <v>289</v>
      </c>
      <c r="B9" s="600"/>
      <c r="C9" s="634">
        <v>1.0249999999999999</v>
      </c>
      <c r="D9" s="600"/>
      <c r="E9" s="613">
        <f>Application!Z793</f>
        <v>9300</v>
      </c>
      <c r="F9" s="613"/>
      <c r="G9" s="613">
        <f>E9*$C$9</f>
        <v>9532.5</v>
      </c>
      <c r="H9" s="613"/>
      <c r="I9" s="613">
        <f>G9*$C$9</f>
        <v>9770.8125</v>
      </c>
      <c r="J9" s="613"/>
      <c r="K9" s="613">
        <f>I9*$C$9</f>
        <v>10015.082812499999</v>
      </c>
      <c r="L9" s="613"/>
      <c r="M9" s="613">
        <f>K9*$C$9</f>
        <v>10265.459882812498</v>
      </c>
      <c r="N9" s="613"/>
      <c r="O9" s="613">
        <f>M9*$C$9</f>
        <v>10522.096379882809</v>
      </c>
      <c r="P9" s="613"/>
      <c r="Q9" s="613">
        <f>O9*$C$9</f>
        <v>10785.148789379879</v>
      </c>
      <c r="R9" s="613"/>
      <c r="S9" s="613">
        <f>Q9*$C$9</f>
        <v>11054.777509114374</v>
      </c>
      <c r="T9" s="613"/>
      <c r="U9" s="613">
        <f>S9*$C$9</f>
        <v>11331.146946842233</v>
      </c>
      <c r="V9" s="613"/>
      <c r="W9" s="613">
        <f>U9*$C$9</f>
        <v>11614.425620513288</v>
      </c>
      <c r="X9" s="613"/>
      <c r="Y9" s="613">
        <f>W9*$C$9</f>
        <v>11904.786261026118</v>
      </c>
      <c r="Z9" s="613"/>
      <c r="AA9" s="613">
        <f>Y9*$C$9</f>
        <v>12202.40591755177</v>
      </c>
      <c r="AB9" s="613"/>
      <c r="AC9" s="613">
        <f>AA9*$C$9</f>
        <v>12507.466065490564</v>
      </c>
      <c r="AD9" s="613"/>
      <c r="AE9" s="613">
        <f>AC9*$C$9</f>
        <v>12820.152717127827</v>
      </c>
      <c r="AF9" s="613"/>
      <c r="AG9" s="613">
        <f>AE9*$C$9</f>
        <v>13140.656535056021</v>
      </c>
      <c r="AH9" s="600"/>
    </row>
    <row r="10" spans="1:34" ht="13.8">
      <c r="A10" s="600"/>
      <c r="B10" s="600" t="s">
        <v>1092</v>
      </c>
      <c r="C10" s="635">
        <f>C5</f>
        <v>7.5000000000000011E-2</v>
      </c>
      <c r="D10" s="600"/>
      <c r="E10" s="632">
        <f>-E9*$C$10</f>
        <v>-697.50000000000011</v>
      </c>
      <c r="F10" s="612"/>
      <c r="G10" s="632">
        <f>-G9*$C$10</f>
        <v>-714.93750000000011</v>
      </c>
      <c r="H10" s="612"/>
      <c r="I10" s="632">
        <f>-I9*$C$10</f>
        <v>-732.81093750000014</v>
      </c>
      <c r="J10" s="612"/>
      <c r="K10" s="632">
        <f>-K9*$C$10</f>
        <v>-751.13121093749999</v>
      </c>
      <c r="L10" s="612"/>
      <c r="M10" s="632">
        <f>-M9*$C$10</f>
        <v>-769.90949121093752</v>
      </c>
      <c r="N10" s="612"/>
      <c r="O10" s="632">
        <f>-O9*$C$10</f>
        <v>-789.15722849121073</v>
      </c>
      <c r="P10" s="612"/>
      <c r="Q10" s="632">
        <f>-Q9*$C$10</f>
        <v>-808.88615920349105</v>
      </c>
      <c r="R10" s="612"/>
      <c r="S10" s="632">
        <f>-S9*$C$10</f>
        <v>-829.10831318357816</v>
      </c>
      <c r="T10" s="612"/>
      <c r="U10" s="632">
        <f>-U9*$C$10</f>
        <v>-849.83602101316762</v>
      </c>
      <c r="V10" s="612"/>
      <c r="W10" s="632">
        <f>-W9*$C$10</f>
        <v>-871.08192153849677</v>
      </c>
      <c r="X10" s="612"/>
      <c r="Y10" s="632">
        <f>-Y9*$C$10</f>
        <v>-892.858969576959</v>
      </c>
      <c r="Z10" s="612"/>
      <c r="AA10" s="632">
        <f>-AA9*$C$10</f>
        <v>-915.18044381638288</v>
      </c>
      <c r="AB10" s="612"/>
      <c r="AC10" s="632">
        <f>-AC9*$C$10</f>
        <v>-938.05995491179237</v>
      </c>
      <c r="AD10" s="612"/>
      <c r="AE10" s="632">
        <f>-AE9*$C$10</f>
        <v>-961.51145378458716</v>
      </c>
      <c r="AF10" s="612"/>
      <c r="AG10" s="632">
        <f>-AG9*$C$10</f>
        <v>-985.54924012920173</v>
      </c>
      <c r="AH10" s="600"/>
    </row>
    <row r="11" spans="1:34" ht="13.8">
      <c r="A11" s="614" t="s">
        <v>1192</v>
      </c>
      <c r="B11" s="614"/>
      <c r="C11" s="605"/>
      <c r="D11" s="614"/>
      <c r="E11" s="614">
        <f>SUM(E4:E10)</f>
        <v>1248322.44</v>
      </c>
      <c r="F11" s="614"/>
      <c r="G11" s="614">
        <f>SUM(G4:G10)</f>
        <v>1279530.5009999999</v>
      </c>
      <c r="H11" s="614"/>
      <c r="I11" s="614">
        <f>SUM(I4:I10)</f>
        <v>1311518.7635249996</v>
      </c>
      <c r="J11" s="614"/>
      <c r="K11" s="614">
        <f>SUM(K4:K10)</f>
        <v>1344306.7326131244</v>
      </c>
      <c r="L11" s="614"/>
      <c r="M11" s="614">
        <f>SUM(M4:M10)</f>
        <v>1377914.4009284526</v>
      </c>
      <c r="N11" s="614"/>
      <c r="O11" s="614">
        <f>SUM(O4:O10)</f>
        <v>1412362.2609516636</v>
      </c>
      <c r="P11" s="614"/>
      <c r="Q11" s="614">
        <f>SUM(Q4:Q10)</f>
        <v>1447671.3174754553</v>
      </c>
      <c r="R11" s="614"/>
      <c r="S11" s="614">
        <f>SUM(S4:S10)</f>
        <v>1483863.1004123415</v>
      </c>
      <c r="T11" s="614"/>
      <c r="U11" s="614">
        <f>SUM(U4:U10)</f>
        <v>1520959.67792265</v>
      </c>
      <c r="V11" s="614"/>
      <c r="W11" s="614">
        <f>SUM(W4:W10)</f>
        <v>1558983.6698707158</v>
      </c>
      <c r="X11" s="614"/>
      <c r="Y11" s="614">
        <f>SUM(Y4:Y10)</f>
        <v>1597958.2616174838</v>
      </c>
      <c r="Z11" s="614"/>
      <c r="AA11" s="614">
        <f>SUM(AA4:AA10)</f>
        <v>1637907.218157921</v>
      </c>
      <c r="AB11" s="614"/>
      <c r="AC11" s="614">
        <f>SUM(AC4:AC10)</f>
        <v>1678854.8986118687</v>
      </c>
      <c r="AD11" s="614"/>
      <c r="AE11" s="614">
        <f>SUM(AE4:AE10)</f>
        <v>1720826.2710771658</v>
      </c>
      <c r="AF11" s="614"/>
      <c r="AG11" s="614">
        <f>SUM(AG4:AG10)</f>
        <v>1763846.9278540944</v>
      </c>
      <c r="AH11" s="614"/>
    </row>
    <row r="12" spans="1:34">
      <c r="A12" s="597"/>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5.6">
      <c r="A13" s="602" t="s">
        <v>1193</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34" ht="13.8">
      <c r="A14" s="600" t="s">
        <v>1194</v>
      </c>
      <c r="B14" s="600"/>
      <c r="C14" s="634">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34" ht="13.8">
      <c r="A15" s="610" t="s">
        <v>1195</v>
      </c>
      <c r="B15" s="610"/>
      <c r="C15" s="625"/>
      <c r="D15" s="610"/>
      <c r="E15" s="610">
        <f>Application!W823</f>
        <v>49200</v>
      </c>
      <c r="F15" s="610"/>
      <c r="G15" s="610">
        <f t="shared" ref="G15:G21" si="13">E15*$C$14</f>
        <v>50921.999999999993</v>
      </c>
      <c r="H15" s="610"/>
      <c r="I15" s="610">
        <f t="shared" ref="I15:I21" si="14">G15*$C$14</f>
        <v>52704.26999999999</v>
      </c>
      <c r="J15" s="610"/>
      <c r="K15" s="610">
        <f t="shared" ref="K15:K21" si="15">I15*$C$14</f>
        <v>54548.919449999987</v>
      </c>
      <c r="L15" s="610"/>
      <c r="M15" s="610">
        <f t="shared" ref="M15:M21" si="16">K15*$C$14</f>
        <v>56458.13163074998</v>
      </c>
      <c r="N15" s="610"/>
      <c r="O15" s="610">
        <f t="shared" ref="O15:O21" si="17">M15*$C$14</f>
        <v>58434.166237826226</v>
      </c>
      <c r="P15" s="610"/>
      <c r="Q15" s="610">
        <f t="shared" ref="Q15:Q21" si="18">O15*$C$14</f>
        <v>60479.362056150138</v>
      </c>
      <c r="R15" s="610"/>
      <c r="S15" s="610">
        <f t="shared" ref="S15:S21" si="19">Q15*$C$14</f>
        <v>62596.139728115384</v>
      </c>
      <c r="T15" s="610"/>
      <c r="U15" s="610">
        <f t="shared" ref="U15:U21" si="20">S15*$C$14</f>
        <v>64787.004618599414</v>
      </c>
      <c r="V15" s="610"/>
      <c r="W15" s="610">
        <f t="shared" ref="W15:W21" si="21">U15*$C$14</f>
        <v>67054.549780250381</v>
      </c>
      <c r="X15" s="610"/>
      <c r="Y15" s="610">
        <f t="shared" ref="Y15:Y21" si="22">W15*$C$14</f>
        <v>69401.459022559138</v>
      </c>
      <c r="Z15" s="610"/>
      <c r="AA15" s="610">
        <f t="shared" ref="AA15:AA21" si="23">Y15*$C$14</f>
        <v>71830.510088348703</v>
      </c>
      <c r="AB15" s="610"/>
      <c r="AC15" s="610">
        <f t="shared" ref="AC15:AC21" si="24">AA15*$C$14</f>
        <v>74344.577941440904</v>
      </c>
      <c r="AD15" s="610"/>
      <c r="AE15" s="610">
        <f t="shared" ref="AE15:AE21" si="25">AC15*$C$14</f>
        <v>76946.638169391328</v>
      </c>
      <c r="AF15" s="610"/>
      <c r="AG15" s="610">
        <f t="shared" ref="AG15:AG21" si="26">AE15*$C$14</f>
        <v>79639.770505320019</v>
      </c>
      <c r="AH15" s="610"/>
    </row>
    <row r="16" spans="1:34" ht="13.8">
      <c r="A16" s="600" t="s">
        <v>517</v>
      </c>
      <c r="B16" s="600"/>
      <c r="C16" s="624"/>
      <c r="D16" s="600"/>
      <c r="E16" s="613">
        <f>Application!W825</f>
        <v>45360</v>
      </c>
      <c r="F16" s="613"/>
      <c r="G16" s="613">
        <f t="shared" si="13"/>
        <v>46947.6</v>
      </c>
      <c r="H16" s="613"/>
      <c r="I16" s="613">
        <f t="shared" si="14"/>
        <v>48590.765999999996</v>
      </c>
      <c r="J16" s="613"/>
      <c r="K16" s="613">
        <f t="shared" si="15"/>
        <v>50291.442809999993</v>
      </c>
      <c r="L16" s="613"/>
      <c r="M16" s="613">
        <f t="shared" si="16"/>
        <v>52051.643308349987</v>
      </c>
      <c r="N16" s="613"/>
      <c r="O16" s="613">
        <f t="shared" si="17"/>
        <v>53873.45082414223</v>
      </c>
      <c r="P16" s="613"/>
      <c r="Q16" s="613">
        <f t="shared" si="18"/>
        <v>55759.021602987203</v>
      </c>
      <c r="R16" s="613"/>
      <c r="S16" s="613">
        <f t="shared" si="19"/>
        <v>57710.587359091747</v>
      </c>
      <c r="T16" s="613"/>
      <c r="U16" s="613">
        <f t="shared" si="20"/>
        <v>59730.457916659951</v>
      </c>
      <c r="V16" s="613"/>
      <c r="W16" s="613">
        <f t="shared" si="21"/>
        <v>61821.023943743043</v>
      </c>
      <c r="X16" s="613"/>
      <c r="Y16" s="613">
        <f t="shared" si="22"/>
        <v>63984.759781774046</v>
      </c>
      <c r="Z16" s="613"/>
      <c r="AA16" s="613">
        <f t="shared" si="23"/>
        <v>66224.226374136138</v>
      </c>
      <c r="AB16" s="613"/>
      <c r="AC16" s="613">
        <f t="shared" si="24"/>
        <v>68542.074297230894</v>
      </c>
      <c r="AD16" s="613"/>
      <c r="AE16" s="613">
        <f t="shared" si="25"/>
        <v>70941.046897633976</v>
      </c>
      <c r="AF16" s="613"/>
      <c r="AG16" s="613">
        <f t="shared" si="26"/>
        <v>73423.983539051158</v>
      </c>
      <c r="AH16" s="600"/>
    </row>
    <row r="17" spans="1:1023 1025:2047 2049:3071 3073:4095 4097:5119 5121:6143 6145:7167 7169:8191 8193:9215 9217:10239 10241:11263 11265:12287 12289:13311 13313:14335 14337:15359 15361:16383" ht="13.8">
      <c r="A17" s="600" t="s">
        <v>801</v>
      </c>
      <c r="B17" s="600"/>
      <c r="C17" s="624"/>
      <c r="D17" s="600"/>
      <c r="E17" s="613">
        <f>Application!W831</f>
        <v>64501</v>
      </c>
      <c r="F17" s="613"/>
      <c r="G17" s="613">
        <f t="shared" si="13"/>
        <v>66758.534999999989</v>
      </c>
      <c r="H17" s="613"/>
      <c r="I17" s="613">
        <f t="shared" si="14"/>
        <v>69095.083724999989</v>
      </c>
      <c r="J17" s="613"/>
      <c r="K17" s="613">
        <f t="shared" si="15"/>
        <v>71513.411655374977</v>
      </c>
      <c r="L17" s="613"/>
      <c r="M17" s="613">
        <f t="shared" si="16"/>
        <v>74016.381063313092</v>
      </c>
      <c r="N17" s="613"/>
      <c r="O17" s="613">
        <f t="shared" si="17"/>
        <v>76606.954400529052</v>
      </c>
      <c r="P17" s="613"/>
      <c r="Q17" s="613">
        <f t="shared" si="18"/>
        <v>79288.197804547555</v>
      </c>
      <c r="R17" s="613"/>
      <c r="S17" s="613">
        <f t="shared" si="19"/>
        <v>82063.284727706719</v>
      </c>
      <c r="T17" s="613"/>
      <c r="U17" s="613">
        <f t="shared" si="20"/>
        <v>84935.499693176447</v>
      </c>
      <c r="V17" s="613"/>
      <c r="W17" s="613">
        <f t="shared" si="21"/>
        <v>87908.242182437622</v>
      </c>
      <c r="X17" s="613"/>
      <c r="Y17" s="613">
        <f t="shared" si="22"/>
        <v>90985.030658822929</v>
      </c>
      <c r="Z17" s="613"/>
      <c r="AA17" s="613">
        <f t="shared" si="23"/>
        <v>94169.506731881731</v>
      </c>
      <c r="AB17" s="613"/>
      <c r="AC17" s="613">
        <f t="shared" si="24"/>
        <v>97465.439467497577</v>
      </c>
      <c r="AD17" s="613"/>
      <c r="AE17" s="613">
        <f t="shared" si="25"/>
        <v>100876.72984885999</v>
      </c>
      <c r="AF17" s="613"/>
      <c r="AG17" s="613">
        <f t="shared" si="26"/>
        <v>104407.41539357009</v>
      </c>
      <c r="AH17" s="600"/>
    </row>
    <row r="18" spans="1:1023 1025:2047 2049:3071 3073:4095 4097:5119 5121:6143 6145:7167 7169:8191 8193:9215 9217:10239 10241:11263 11265:12287 12289:13311 13313:14335 14337:15359 15361:16383" ht="13.8">
      <c r="A18" s="600" t="s">
        <v>1196</v>
      </c>
      <c r="B18" s="600"/>
      <c r="C18" s="624"/>
      <c r="D18" s="600"/>
      <c r="E18" s="613">
        <f>Application!W838</f>
        <v>137839</v>
      </c>
      <c r="F18" s="613"/>
      <c r="G18" s="613">
        <f t="shared" si="13"/>
        <v>142663.36499999999</v>
      </c>
      <c r="H18" s="613"/>
      <c r="I18" s="613">
        <f t="shared" si="14"/>
        <v>147656.58277499999</v>
      </c>
      <c r="J18" s="613"/>
      <c r="K18" s="613">
        <f t="shared" si="15"/>
        <v>152824.56317212497</v>
      </c>
      <c r="L18" s="613"/>
      <c r="M18" s="613">
        <f t="shared" si="16"/>
        <v>158173.42288314932</v>
      </c>
      <c r="N18" s="613"/>
      <c r="O18" s="613">
        <f t="shared" si="17"/>
        <v>163709.49268405954</v>
      </c>
      <c r="P18" s="613"/>
      <c r="Q18" s="613">
        <f t="shared" si="18"/>
        <v>169439.32492800162</v>
      </c>
      <c r="R18" s="613"/>
      <c r="S18" s="613">
        <f t="shared" si="19"/>
        <v>175369.70130048165</v>
      </c>
      <c r="T18" s="613"/>
      <c r="U18" s="613">
        <f t="shared" si="20"/>
        <v>181507.64084599851</v>
      </c>
      <c r="V18" s="613"/>
      <c r="W18" s="613">
        <f t="shared" si="21"/>
        <v>187860.40827560844</v>
      </c>
      <c r="X18" s="613"/>
      <c r="Y18" s="613">
        <f t="shared" si="22"/>
        <v>194435.52256525471</v>
      </c>
      <c r="Z18" s="613"/>
      <c r="AA18" s="613">
        <f t="shared" si="23"/>
        <v>201240.7658550386</v>
      </c>
      <c r="AB18" s="613"/>
      <c r="AC18" s="613">
        <f t="shared" si="24"/>
        <v>208284.19265996493</v>
      </c>
      <c r="AD18" s="613"/>
      <c r="AE18" s="613">
        <f t="shared" si="25"/>
        <v>215574.13940306369</v>
      </c>
      <c r="AF18" s="613"/>
      <c r="AG18" s="613">
        <f t="shared" si="26"/>
        <v>223119.23428217089</v>
      </c>
    </row>
    <row r="19" spans="1:1023 1025:2047 2049:3071 3073:4095 4097:5119 5121:6143 6145:7167 7169:8191 8193:9215 9217:10239 10241:11263 11265:12287 12289:13311 13313:14335 14337:15359 15361:16383" ht="13.8">
      <c r="A19" s="600" t="s">
        <v>1035</v>
      </c>
      <c r="B19" s="600"/>
      <c r="C19" s="624"/>
      <c r="D19" s="600"/>
      <c r="E19" s="613">
        <f>Application!W839</f>
        <v>60000</v>
      </c>
      <c r="F19" s="613"/>
      <c r="G19" s="613">
        <f t="shared" si="13"/>
        <v>62099.999999999993</v>
      </c>
      <c r="H19" s="613"/>
      <c r="I19" s="613">
        <f t="shared" si="14"/>
        <v>64273.499999999985</v>
      </c>
      <c r="J19" s="613"/>
      <c r="K19" s="613">
        <f t="shared" si="15"/>
        <v>66523.07249999998</v>
      </c>
      <c r="L19" s="613"/>
      <c r="M19" s="613">
        <f t="shared" si="16"/>
        <v>68851.38003749997</v>
      </c>
      <c r="N19" s="613"/>
      <c r="O19" s="613">
        <f t="shared" si="17"/>
        <v>71261.17833881246</v>
      </c>
      <c r="P19" s="613"/>
      <c r="Q19" s="613">
        <f t="shared" si="18"/>
        <v>73755.319580670897</v>
      </c>
      <c r="R19" s="613"/>
      <c r="S19" s="613">
        <f t="shared" si="19"/>
        <v>76336.75576599437</v>
      </c>
      <c r="T19" s="613"/>
      <c r="U19" s="613">
        <f t="shared" si="20"/>
        <v>79008.542217804163</v>
      </c>
      <c r="V19" s="613"/>
      <c r="W19" s="613">
        <f t="shared" si="21"/>
        <v>81773.841195427303</v>
      </c>
      <c r="X19" s="613"/>
      <c r="Y19" s="613">
        <f t="shared" si="22"/>
        <v>84635.925637267253</v>
      </c>
      <c r="Z19" s="613"/>
      <c r="AA19" s="613">
        <f t="shared" si="23"/>
        <v>87598.183034571601</v>
      </c>
      <c r="AB19" s="613"/>
      <c r="AC19" s="613">
        <f t="shared" si="24"/>
        <v>90664.119440781593</v>
      </c>
      <c r="AD19" s="613"/>
      <c r="AE19" s="613">
        <f t="shared" si="25"/>
        <v>93837.363621208948</v>
      </c>
      <c r="AF19" s="613"/>
      <c r="AG19" s="613">
        <f t="shared" si="26"/>
        <v>97121.671347951255</v>
      </c>
    </row>
    <row r="20" spans="1:1023 1025:2047 2049:3071 3073:4095 4097:5119 5121:6143 6145:7167 7169:8191 8193:9215 9217:10239 10241:11263 11265:12287 12289:13311 13313:14335 14337:15359 15361:16383" ht="13.8">
      <c r="A20" s="600" t="s">
        <v>60</v>
      </c>
      <c r="B20" s="600"/>
      <c r="C20" s="624"/>
      <c r="D20" s="600"/>
      <c r="E20" s="613">
        <f>Application!W848</f>
        <v>46300</v>
      </c>
      <c r="F20" s="613"/>
      <c r="G20" s="613">
        <f t="shared" si="13"/>
        <v>47920.499999999993</v>
      </c>
      <c r="H20" s="613"/>
      <c r="I20" s="613">
        <f t="shared" si="14"/>
        <v>49597.717499999992</v>
      </c>
      <c r="J20" s="613"/>
      <c r="K20" s="613">
        <f t="shared" si="15"/>
        <v>51333.637612499988</v>
      </c>
      <c r="L20" s="613"/>
      <c r="M20" s="613">
        <f t="shared" si="16"/>
        <v>53130.314928937485</v>
      </c>
      <c r="N20" s="613"/>
      <c r="O20" s="613">
        <f t="shared" si="17"/>
        <v>54989.875951450296</v>
      </c>
      <c r="P20" s="613"/>
      <c r="Q20" s="613">
        <f t="shared" si="18"/>
        <v>56914.521609751049</v>
      </c>
      <c r="R20" s="613"/>
      <c r="S20" s="613">
        <f t="shared" si="19"/>
        <v>58906.529866092329</v>
      </c>
      <c r="T20" s="613"/>
      <c r="U20" s="613">
        <f t="shared" si="20"/>
        <v>60968.258411405557</v>
      </c>
      <c r="V20" s="613"/>
      <c r="W20" s="613">
        <f t="shared" si="21"/>
        <v>63102.147455804748</v>
      </c>
      <c r="X20" s="613"/>
      <c r="Y20" s="613">
        <f t="shared" si="22"/>
        <v>65310.722616757907</v>
      </c>
      <c r="Z20" s="613"/>
      <c r="AA20" s="613">
        <f t="shared" si="23"/>
        <v>67596.597908344425</v>
      </c>
      <c r="AB20" s="613"/>
      <c r="AC20" s="613">
        <f t="shared" si="24"/>
        <v>69962.47883513647</v>
      </c>
      <c r="AD20" s="613"/>
      <c r="AE20" s="613">
        <f t="shared" si="25"/>
        <v>72411.165594366234</v>
      </c>
      <c r="AF20" s="613"/>
      <c r="AG20" s="613">
        <f t="shared" si="26"/>
        <v>74945.556390169048</v>
      </c>
    </row>
    <row r="21" spans="1:1023 1025:2047 2049:3071 3073:4095 4097:5119 5121:6143 6145:7167 7169:8191 8193:9215 9217:10239 10241:11263 11265:12287 12289:13311 13313:14335 14337:15359 15361:16383" ht="13.8">
      <c r="A21" s="769" t="s">
        <v>1351</v>
      </c>
      <c r="B21" s="769"/>
      <c r="C21" s="624"/>
      <c r="D21" s="600"/>
      <c r="E21" s="623">
        <f>Application!W855</f>
        <v>0</v>
      </c>
      <c r="F21" s="613"/>
      <c r="G21" s="623">
        <f t="shared" si="13"/>
        <v>0</v>
      </c>
      <c r="H21" s="613"/>
      <c r="I21" s="623">
        <f t="shared" si="14"/>
        <v>0</v>
      </c>
      <c r="J21" s="613"/>
      <c r="K21" s="623">
        <f t="shared" si="15"/>
        <v>0</v>
      </c>
      <c r="L21" s="613"/>
      <c r="M21" s="623">
        <f t="shared" si="16"/>
        <v>0</v>
      </c>
      <c r="N21" s="613"/>
      <c r="O21" s="623">
        <f t="shared" si="17"/>
        <v>0</v>
      </c>
      <c r="P21" s="613"/>
      <c r="Q21" s="623">
        <f t="shared" si="18"/>
        <v>0</v>
      </c>
      <c r="R21" s="613"/>
      <c r="S21" s="623">
        <f t="shared" si="19"/>
        <v>0</v>
      </c>
      <c r="T21" s="613"/>
      <c r="U21" s="623">
        <f t="shared" si="20"/>
        <v>0</v>
      </c>
      <c r="V21" s="613"/>
      <c r="W21" s="623">
        <f t="shared" si="21"/>
        <v>0</v>
      </c>
      <c r="X21" s="613"/>
      <c r="Y21" s="623">
        <f t="shared" si="22"/>
        <v>0</v>
      </c>
      <c r="Z21" s="613"/>
      <c r="AA21" s="623">
        <f t="shared" si="23"/>
        <v>0</v>
      </c>
      <c r="AB21" s="613"/>
      <c r="AC21" s="623">
        <f t="shared" si="24"/>
        <v>0</v>
      </c>
      <c r="AD21" s="613"/>
      <c r="AE21" s="623">
        <f t="shared" si="25"/>
        <v>0</v>
      </c>
      <c r="AF21" s="613"/>
      <c r="AG21" s="623">
        <f t="shared" si="26"/>
        <v>0</v>
      </c>
    </row>
    <row r="22" spans="1:1023 1025:2047 2049:3071 3073:4095 4097:5119 5121:6143 6145:7167 7169:8191 8193:9215 9217:10239 10241:11263 11265:12287 12289:13311 13313:14335 14337:15359 15361:16383" ht="13.8">
      <c r="A22" s="614" t="s">
        <v>1197</v>
      </c>
      <c r="B22" s="614"/>
      <c r="C22" s="624"/>
      <c r="D22" s="614"/>
      <c r="E22" s="614">
        <f>SUM(E15:E21)</f>
        <v>403200</v>
      </c>
      <c r="F22" s="614"/>
      <c r="G22" s="614">
        <f>SUM(G15:G21)</f>
        <v>417312</v>
      </c>
      <c r="H22" s="614"/>
      <c r="I22" s="614">
        <f>SUM(I15:I21)</f>
        <v>431917.92</v>
      </c>
      <c r="J22" s="614"/>
      <c r="K22" s="614">
        <f>SUM(K15:K21)</f>
        <v>447035.04719999991</v>
      </c>
      <c r="L22" s="614"/>
      <c r="M22" s="614">
        <f>SUM(M15:M21)</f>
        <v>462681.27385199978</v>
      </c>
      <c r="N22" s="614"/>
      <c r="O22" s="614">
        <f>SUM(O15:O21)</f>
        <v>478875.11843681987</v>
      </c>
      <c r="P22" s="614"/>
      <c r="Q22" s="614">
        <f>SUM(Q15:Q21)</f>
        <v>495635.74758210848</v>
      </c>
      <c r="R22" s="614"/>
      <c r="S22" s="614">
        <f>SUM(S15:S21)</f>
        <v>512982.9987474822</v>
      </c>
      <c r="T22" s="614"/>
      <c r="U22" s="614">
        <f>SUM(U15:U21)</f>
        <v>530937.40370364406</v>
      </c>
      <c r="V22" s="614"/>
      <c r="W22" s="614">
        <f>SUM(W15:W21)</f>
        <v>549520.21283327159</v>
      </c>
      <c r="X22" s="614"/>
      <c r="Y22" s="614">
        <f>SUM(Y15:Y21)</f>
        <v>568753.42028243595</v>
      </c>
      <c r="Z22" s="614"/>
      <c r="AA22" s="614">
        <f>SUM(AA15:AA21)</f>
        <v>588659.78999232117</v>
      </c>
      <c r="AB22" s="614"/>
      <c r="AC22" s="614">
        <f>SUM(AC15:AC21)</f>
        <v>609262.88264205249</v>
      </c>
      <c r="AD22" s="614"/>
      <c r="AE22" s="614">
        <f>SUM(AE15:AE21)</f>
        <v>630587.08353452419</v>
      </c>
      <c r="AF22" s="614"/>
      <c r="AG22" s="614">
        <f>SUM(AG15:AG21)</f>
        <v>652657.63145823253</v>
      </c>
    </row>
    <row r="23" spans="1:1023 1025:2047 2049:3071 3073:4095 4097:5119 5121:6143 6145:7167 7169:8191 8193:9215 9217:10239 10241:11263 11265:12287 12289:13311 13313:14335 14337:15359 15361:16383" s="1379" customFormat="1" ht="13.8">
      <c r="A23" s="614"/>
      <c r="B23" s="614"/>
      <c r="C23" s="62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row>
    <row r="24" spans="1:1023 1025:2047 2049:3071 3073:4095 4097:5119 5121:6143 6145:7167 7169:8191 8193:9215 9217:10239 10241:11263 11265:12287 12289:13311 13313:14335 14337:15359 15361:16383" s="1379" customFormat="1" ht="13.8">
      <c r="A24" s="1398" t="s">
        <v>2225</v>
      </c>
      <c r="B24" s="1398"/>
      <c r="C24" s="1399"/>
      <c r="D24" s="1398"/>
      <c r="E24" s="1400"/>
      <c r="F24" s="614"/>
      <c r="G24" s="610">
        <f>E24*$C$24</f>
        <v>0</v>
      </c>
      <c r="H24" s="610"/>
      <c r="I24" s="610">
        <f>G24*$C$24</f>
        <v>0</v>
      </c>
      <c r="J24" s="610"/>
      <c r="K24" s="610">
        <f>I24*$C$24</f>
        <v>0</v>
      </c>
      <c r="L24" s="610"/>
      <c r="M24" s="610">
        <f>K24*$C$24</f>
        <v>0</v>
      </c>
      <c r="N24" s="610"/>
      <c r="O24" s="610">
        <f>M24*$C$24</f>
        <v>0</v>
      </c>
      <c r="P24" s="610"/>
      <c r="Q24" s="610">
        <f>O24*$C$24</f>
        <v>0</v>
      </c>
      <c r="R24" s="610"/>
      <c r="S24" s="610">
        <f>Q24*$C$24</f>
        <v>0</v>
      </c>
      <c r="T24" s="610"/>
      <c r="U24" s="610">
        <f>S24*$C$24</f>
        <v>0</v>
      </c>
      <c r="V24" s="610"/>
      <c r="W24" s="610">
        <f>U24*$C$24</f>
        <v>0</v>
      </c>
      <c r="X24" s="610"/>
      <c r="Y24" s="610">
        <f>W24*$C$24</f>
        <v>0</v>
      </c>
      <c r="Z24" s="610"/>
      <c r="AA24" s="610">
        <f>Y24*$C$24</f>
        <v>0</v>
      </c>
      <c r="AB24" s="610"/>
      <c r="AC24" s="610">
        <f>AA24*$C$24</f>
        <v>0</v>
      </c>
      <c r="AD24" s="610"/>
      <c r="AE24" s="610">
        <f>AC24*$C$24</f>
        <v>0</v>
      </c>
      <c r="AF24" s="610"/>
      <c r="AG24" s="610">
        <f>AE24*$C$24</f>
        <v>0</v>
      </c>
    </row>
    <row r="25" spans="1:1023 1025:2047 2049:3071 3073:4095 4097:5119 5121:6143 6145:7167 7169:8191 8193:9215 9217:10239 10241:11263 11265:12287 12289:13311 13313:14335 14337:15359 15361:16383" ht="13.8">
      <c r="A25" s="600"/>
      <c r="B25" s="600"/>
      <c r="C25" s="624"/>
      <c r="D25" s="600"/>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row>
    <row r="26" spans="1:1023 1025:2047 2049:3071 3073:4095 4097:5119 5121:6143 6145:7167 7169:8191 8193:9215 9217:10239 10241:11263 11265:12287 12289:13311 13313:14335 14337:15359 15361:16383" ht="13.8">
      <c r="A26" s="600" t="s">
        <v>1515</v>
      </c>
      <c r="B26" s="600"/>
      <c r="C26" s="636">
        <v>1.0349999999999999</v>
      </c>
      <c r="D26" s="600"/>
      <c r="E26" s="610">
        <f>Application!AC863</f>
        <v>0</v>
      </c>
      <c r="F26" s="610"/>
      <c r="G26" s="610">
        <f>E26*$C$26</f>
        <v>0</v>
      </c>
      <c r="H26" s="610"/>
      <c r="I26" s="610">
        <f>G26*$C$26</f>
        <v>0</v>
      </c>
      <c r="J26" s="610"/>
      <c r="K26" s="610">
        <f>I26*$C$26</f>
        <v>0</v>
      </c>
      <c r="L26" s="610"/>
      <c r="M26" s="610">
        <f>K26*$C$26</f>
        <v>0</v>
      </c>
      <c r="N26" s="610"/>
      <c r="O26" s="610">
        <f>M26*$C$26</f>
        <v>0</v>
      </c>
      <c r="P26" s="610"/>
      <c r="Q26" s="610">
        <f>O26*$C$26</f>
        <v>0</v>
      </c>
      <c r="R26" s="610"/>
      <c r="S26" s="610">
        <f>Q26*$C$26</f>
        <v>0</v>
      </c>
      <c r="T26" s="610"/>
      <c r="U26" s="610">
        <f>S26*$C$26</f>
        <v>0</v>
      </c>
      <c r="V26" s="610"/>
      <c r="W26" s="610">
        <f>U26*$C$26</f>
        <v>0</v>
      </c>
      <c r="X26" s="610"/>
      <c r="Y26" s="610">
        <f>W26*$C$26</f>
        <v>0</v>
      </c>
      <c r="Z26" s="610"/>
      <c r="AA26" s="610">
        <f>Y26*$C$26</f>
        <v>0</v>
      </c>
      <c r="AB26" s="610"/>
      <c r="AC26" s="610">
        <f>AA26*$C$26</f>
        <v>0</v>
      </c>
      <c r="AD26" s="610"/>
      <c r="AE26" s="610">
        <f>AC26*$C$26</f>
        <v>0</v>
      </c>
      <c r="AF26" s="610"/>
      <c r="AG26" s="610">
        <f>AE26*$C$26</f>
        <v>0</v>
      </c>
    </row>
    <row r="27" spans="1:1023 1025:2047 2049:3071 3073:4095 4097:5119 5121:6143 6145:7167 7169:8191 8193:9215 9217:10239 10241:11263 11265:12287 12289:13311 13313:14335 14337:15359 15361:16383" ht="13.8">
      <c r="A27" s="600" t="s">
        <v>1198</v>
      </c>
      <c r="B27" s="600"/>
      <c r="C27" s="636">
        <v>1.0249999999999999</v>
      </c>
      <c r="D27" s="600"/>
      <c r="E27" s="613">
        <f>Application!AC864</f>
        <v>187400</v>
      </c>
      <c r="F27" s="613"/>
      <c r="G27" s="613">
        <f>E27*$C$27</f>
        <v>192084.99999999997</v>
      </c>
      <c r="H27" s="613"/>
      <c r="I27" s="613">
        <f>G27*$C$27</f>
        <v>196887.12499999994</v>
      </c>
      <c r="J27" s="613"/>
      <c r="K27" s="613">
        <f>I27*$C$27</f>
        <v>201809.30312499992</v>
      </c>
      <c r="L27" s="613"/>
      <c r="M27" s="613">
        <f>K27*$C$27</f>
        <v>206854.53570312489</v>
      </c>
      <c r="N27" s="613"/>
      <c r="O27" s="613">
        <f>M27*$C$27</f>
        <v>212025.899095703</v>
      </c>
      <c r="P27" s="613"/>
      <c r="Q27" s="613">
        <f>O27*$C$27</f>
        <v>217326.54657309555</v>
      </c>
      <c r="R27" s="613"/>
      <c r="S27" s="613">
        <f>Q27*$C$27</f>
        <v>222759.71023742293</v>
      </c>
      <c r="T27" s="613"/>
      <c r="U27" s="613">
        <f>S27*$C$27</f>
        <v>228328.70299335849</v>
      </c>
      <c r="V27" s="613"/>
      <c r="W27" s="613">
        <f>U27*$C$27</f>
        <v>234036.92056819244</v>
      </c>
      <c r="X27" s="613"/>
      <c r="Y27" s="613">
        <f>W27*$C$27</f>
        <v>239887.84358239724</v>
      </c>
      <c r="Z27" s="613"/>
      <c r="AA27" s="613">
        <f>Y27*$C$27</f>
        <v>245885.03967195714</v>
      </c>
      <c r="AB27" s="613"/>
      <c r="AC27" s="613">
        <f>AA27*$C$27</f>
        <v>252032.16566375605</v>
      </c>
      <c r="AD27" s="613"/>
      <c r="AE27" s="613">
        <f>AC27*$C$27</f>
        <v>258332.96980534995</v>
      </c>
      <c r="AF27" s="613"/>
      <c r="AG27" s="613">
        <f>AE27*$C$27</f>
        <v>264791.29405048367</v>
      </c>
    </row>
    <row r="28" spans="1:1023 1025:2047 2049:3071 3073:4095 4097:5119 5121:6143 6145:7167 7169:8191 8193:9215 9217:10239 10241:11263 11265:12287 12289:13311 13313:14335 14337:15359 15361:16383" s="613" customFormat="1" ht="13.8">
      <c r="A28" s="1398" t="s">
        <v>1199</v>
      </c>
      <c r="B28" s="600"/>
      <c r="C28" s="636">
        <v>1.01</v>
      </c>
      <c r="D28" s="600"/>
      <c r="E28" s="613">
        <f>Application!AC865</f>
        <v>18900</v>
      </c>
      <c r="G28" s="613">
        <f>E$28*$C$28</f>
        <v>19089</v>
      </c>
      <c r="I28" s="613">
        <f t="shared" ref="I28" si="27">G$28*$C$28</f>
        <v>19279.89</v>
      </c>
      <c r="K28" s="613">
        <f t="shared" ref="K28" si="28">I$28*$C$28</f>
        <v>19472.688900000001</v>
      </c>
      <c r="M28" s="613">
        <f t="shared" ref="M28" si="29">K$28*$C$28</f>
        <v>19667.415789000002</v>
      </c>
      <c r="O28" s="613">
        <f t="shared" ref="O28" si="30">M$28*$C$28</f>
        <v>19864.089946890002</v>
      </c>
      <c r="Q28" s="613">
        <f t="shared" ref="Q28" si="31">O$28*$C$28</f>
        <v>20062.730846358903</v>
      </c>
      <c r="S28" s="613">
        <f t="shared" ref="S28" si="32">Q$28*$C$28</f>
        <v>20263.358154822494</v>
      </c>
      <c r="U28" s="613">
        <f t="shared" ref="U28" si="33">S$28*$C$28</f>
        <v>20465.991736370717</v>
      </c>
      <c r="W28" s="613">
        <f t="shared" ref="W28" si="34">U$28*$C$28</f>
        <v>20670.651653734425</v>
      </c>
      <c r="Y28" s="613">
        <f t="shared" ref="Y28" si="35">W$28*$C$28</f>
        <v>20877.358170271771</v>
      </c>
      <c r="AA28" s="613">
        <f t="shared" ref="AA28" si="36">Y$28*$C$28</f>
        <v>21086.131751974488</v>
      </c>
      <c r="AC28" s="613">
        <f t="shared" ref="AC28" si="37">AA$28*$C$28</f>
        <v>21296.993069494234</v>
      </c>
      <c r="AE28" s="613">
        <f t="shared" ref="AE28" si="38">AC$28*$C$28</f>
        <v>21509.963000189178</v>
      </c>
      <c r="AG28" s="613">
        <f t="shared" ref="AG28" si="39">AE$28*$C$28</f>
        <v>21725.062630191071</v>
      </c>
      <c r="AI28" s="613">
        <f t="shared" ref="AI28" si="40">AG$28*$C$28</f>
        <v>21942.31325649298</v>
      </c>
      <c r="AK28" s="613">
        <f t="shared" ref="AK28" si="41">AI$28*$C$28</f>
        <v>22161.736389057911</v>
      </c>
      <c r="AM28" s="613">
        <f t="shared" ref="AM28" si="42">AK$28*$C$28</f>
        <v>22383.353752948489</v>
      </c>
      <c r="AO28" s="613">
        <f t="shared" ref="AO28" si="43">AM$28*$C$28</f>
        <v>22607.187290477974</v>
      </c>
      <c r="AQ28" s="613">
        <f t="shared" ref="AQ28" si="44">AO$28*$C$28</f>
        <v>22833.259163382754</v>
      </c>
      <c r="AS28" s="613">
        <f t="shared" ref="AS28" si="45">AQ$28*$C$28</f>
        <v>23061.591755016583</v>
      </c>
      <c r="AU28" s="613">
        <f t="shared" ref="AU28" si="46">AS$28*$C$28</f>
        <v>23292.20767256675</v>
      </c>
      <c r="AW28" s="613">
        <f t="shared" ref="AW28" si="47">AU$28*$C$28</f>
        <v>23525.129749292417</v>
      </c>
      <c r="AY28" s="613">
        <f t="shared" ref="AY28" si="48">AW$28*$C$28</f>
        <v>23760.38104678534</v>
      </c>
      <c r="BA28" s="613">
        <f t="shared" ref="BA28" si="49">AY$28*$C$28</f>
        <v>23997.984857253192</v>
      </c>
      <c r="BC28" s="613">
        <f t="shared" ref="BC28" si="50">BA$28*$C$28</f>
        <v>24237.964705825725</v>
      </c>
      <c r="BE28" s="613">
        <f t="shared" ref="BE28" si="51">BC$28*$C$28</f>
        <v>24480.344352883982</v>
      </c>
      <c r="BG28" s="613">
        <f t="shared" ref="BG28" si="52">BE$28*$C$28</f>
        <v>24725.147796412821</v>
      </c>
      <c r="BI28" s="613">
        <f t="shared" ref="BI28" si="53">BG$28*$C$28</f>
        <v>24972.399274376949</v>
      </c>
      <c r="BK28" s="613">
        <f t="shared" ref="BK28" si="54">BI$28*$C$28</f>
        <v>25222.123267120718</v>
      </c>
      <c r="BM28" s="613">
        <f t="shared" ref="BM28" si="55">BK$28*$C$28</f>
        <v>25474.344499791925</v>
      </c>
      <c r="BO28" s="613">
        <f t="shared" ref="BO28" si="56">BM$28*$C$28</f>
        <v>25729.087944789844</v>
      </c>
      <c r="BQ28" s="613">
        <f t="shared" ref="BQ28" si="57">BO$28*$C$28</f>
        <v>25986.378824237741</v>
      </c>
      <c r="BS28" s="613">
        <f t="shared" ref="BS28" si="58">BQ$28*$C$28</f>
        <v>26246.24261248012</v>
      </c>
      <c r="BU28" s="613">
        <f t="shared" ref="BU28" si="59">BS$28*$C$28</f>
        <v>26508.705038604923</v>
      </c>
      <c r="BW28" s="613">
        <f t="shared" ref="BW28" si="60">BU$28*$C$28</f>
        <v>26773.792088990973</v>
      </c>
      <c r="BY28" s="613">
        <f t="shared" ref="BY28" si="61">BW$28*$C$28</f>
        <v>27041.530009880884</v>
      </c>
      <c r="CA28" s="613">
        <f t="shared" ref="CA28" si="62">BY$28*$C$28</f>
        <v>27311.945309979692</v>
      </c>
      <c r="CC28" s="613">
        <f t="shared" ref="CC28" si="63">CA$28*$C$28</f>
        <v>27585.064763079488</v>
      </c>
      <c r="CE28" s="613">
        <f t="shared" ref="CE28" si="64">CC$28*$C$28</f>
        <v>27860.915410710284</v>
      </c>
      <c r="CG28" s="613">
        <f t="shared" ref="CG28" si="65">CE$28*$C$28</f>
        <v>28139.524564817388</v>
      </c>
      <c r="CI28" s="613">
        <f t="shared" ref="CI28" si="66">CG$28*$C$28</f>
        <v>28420.919810465562</v>
      </c>
      <c r="CK28" s="613">
        <f t="shared" ref="CK28" si="67">CI$28*$C$28</f>
        <v>28705.129008570217</v>
      </c>
      <c r="CM28" s="613">
        <f t="shared" ref="CM28" si="68">CK$28*$C$28</f>
        <v>28992.18029865592</v>
      </c>
      <c r="CO28" s="613">
        <f t="shared" ref="CO28" si="69">CM$28*$C$28</f>
        <v>29282.102101642478</v>
      </c>
      <c r="CQ28" s="613">
        <f t="shared" ref="CQ28" si="70">CO$28*$C$28</f>
        <v>29574.923122658904</v>
      </c>
      <c r="CS28" s="613">
        <f t="shared" ref="CS28" si="71">CQ$28*$C$28</f>
        <v>29870.672353885493</v>
      </c>
      <c r="CU28" s="613">
        <f t="shared" ref="CU28" si="72">CS$28*$C$28</f>
        <v>30169.37907742435</v>
      </c>
      <c r="CW28" s="613">
        <f t="shared" ref="CW28" si="73">CU$28*$C$28</f>
        <v>30471.072868198593</v>
      </c>
      <c r="CY28" s="613">
        <f t="shared" ref="CY28" si="74">CW$28*$C$28</f>
        <v>30775.783596880578</v>
      </c>
      <c r="DA28" s="613">
        <f t="shared" ref="DA28" si="75">CY$28*$C$28</f>
        <v>31083.541432849383</v>
      </c>
      <c r="DC28" s="613">
        <f t="shared" ref="DC28" si="76">DA$28*$C$28</f>
        <v>31394.376847177875</v>
      </c>
      <c r="DE28" s="613">
        <f t="shared" ref="DE28" si="77">DC$28*$C$28</f>
        <v>31708.320615649653</v>
      </c>
      <c r="DG28" s="613">
        <f t="shared" ref="DG28" si="78">DE$28*$C$28</f>
        <v>32025.403821806151</v>
      </c>
      <c r="DI28" s="613">
        <f t="shared" ref="DI28" si="79">DG$28*$C$28</f>
        <v>32345.657860024214</v>
      </c>
      <c r="DK28" s="613">
        <f t="shared" ref="DK28" si="80">DI$28*$C$28</f>
        <v>32669.114438624456</v>
      </c>
      <c r="DM28" s="613">
        <f t="shared" ref="DM28" si="81">DK$28*$C$28</f>
        <v>32995.805583010704</v>
      </c>
      <c r="DO28" s="613">
        <f t="shared" ref="DO28" si="82">DM$28*$C$28</f>
        <v>33325.763638840814</v>
      </c>
      <c r="DQ28" s="613">
        <f t="shared" ref="DQ28" si="83">DO$28*$C$28</f>
        <v>33659.021275229221</v>
      </c>
      <c r="DS28" s="613">
        <f t="shared" ref="DS28" si="84">DQ$28*$C$28</f>
        <v>33995.611487981514</v>
      </c>
      <c r="DU28" s="613">
        <f t="shared" ref="DU28" si="85">DS$28*$C$28</f>
        <v>34335.567602861331</v>
      </c>
      <c r="DW28" s="613">
        <f t="shared" ref="DW28" si="86">DU$28*$C$28</f>
        <v>34678.923278889946</v>
      </c>
      <c r="DY28" s="613">
        <f t="shared" ref="DY28" si="87">DW$28*$C$28</f>
        <v>35025.712511678845</v>
      </c>
      <c r="EA28" s="613">
        <f t="shared" ref="EA28" si="88">DY$28*$C$28</f>
        <v>35375.969636795635</v>
      </c>
      <c r="EC28" s="613">
        <f t="shared" ref="EC28" si="89">EA$28*$C$28</f>
        <v>35729.729333163588</v>
      </c>
      <c r="EE28" s="613">
        <f t="shared" ref="EE28" si="90">EC$28*$C$28</f>
        <v>36087.026626495222</v>
      </c>
      <c r="EG28" s="613">
        <f t="shared" ref="EG28" si="91">EE$28*$C$28</f>
        <v>36447.896892760175</v>
      </c>
      <c r="EI28" s="613">
        <f t="shared" ref="EI28" si="92">EG$28*$C$28</f>
        <v>36812.375861687775</v>
      </c>
      <c r="EK28" s="613">
        <f t="shared" ref="EK28" si="93">EI$28*$C$28</f>
        <v>37180.499620304654</v>
      </c>
      <c r="EM28" s="613">
        <f t="shared" ref="EM28" si="94">EK$28*$C$28</f>
        <v>37552.304616507703</v>
      </c>
      <c r="EO28" s="613">
        <f t="shared" ref="EO28" si="95">EM$28*$C$28</f>
        <v>37927.827662672782</v>
      </c>
      <c r="EQ28" s="613">
        <f t="shared" ref="EQ28" si="96">EO$28*$C$28</f>
        <v>38307.105939299508</v>
      </c>
      <c r="ES28" s="613">
        <f t="shared" ref="ES28" si="97">EQ$28*$C$28</f>
        <v>38690.176998692506</v>
      </c>
      <c r="EU28" s="613">
        <f t="shared" ref="EU28" si="98">ES$28*$C$28</f>
        <v>39077.078768679428</v>
      </c>
      <c r="EW28" s="613">
        <f t="shared" ref="EW28" si="99">EU$28*$C$28</f>
        <v>39467.849556366222</v>
      </c>
      <c r="EY28" s="613">
        <f t="shared" ref="EY28" si="100">EW$28*$C$28</f>
        <v>39862.528051929883</v>
      </c>
      <c r="FA28" s="613">
        <f t="shared" ref="FA28" si="101">EY$28*$C$28</f>
        <v>40261.153332449183</v>
      </c>
      <c r="FC28" s="613">
        <f t="shared" ref="FC28" si="102">FA$28*$C$28</f>
        <v>40663.764865773672</v>
      </c>
      <c r="FE28" s="613">
        <f t="shared" ref="FE28" si="103">FC$28*$C$28</f>
        <v>41070.402514431407</v>
      </c>
      <c r="FG28" s="613">
        <f t="shared" ref="FG28" si="104">FE$28*$C$28</f>
        <v>41481.106539575725</v>
      </c>
      <c r="FI28" s="613">
        <f t="shared" ref="FI28" si="105">FG$28*$C$28</f>
        <v>41895.917604971481</v>
      </c>
      <c r="FK28" s="613">
        <f t="shared" ref="FK28" si="106">FI$28*$C$28</f>
        <v>42314.876781021194</v>
      </c>
      <c r="FM28" s="613">
        <f t="shared" ref="FM28" si="107">FK$28*$C$28</f>
        <v>42738.025548831407</v>
      </c>
      <c r="FO28" s="613">
        <f t="shared" ref="FO28" si="108">FM$28*$C$28</f>
        <v>43165.405804319722</v>
      </c>
      <c r="FQ28" s="613">
        <f t="shared" ref="FQ28" si="109">FO$28*$C$28</f>
        <v>43597.059862362919</v>
      </c>
      <c r="FS28" s="613">
        <f t="shared" ref="FS28" si="110">FQ$28*$C$28</f>
        <v>44033.030460986549</v>
      </c>
      <c r="FU28" s="613">
        <f t="shared" ref="FU28" si="111">FS$28*$C$28</f>
        <v>44473.360765596415</v>
      </c>
      <c r="FW28" s="613">
        <f t="shared" ref="FW28" si="112">FU$28*$C$28</f>
        <v>44918.094373252381</v>
      </c>
      <c r="FY28" s="613">
        <f t="shared" ref="FY28" si="113">FW$28*$C$28</f>
        <v>45367.275316984902</v>
      </c>
      <c r="GA28" s="613">
        <f t="shared" ref="GA28" si="114">FY$28*$C$28</f>
        <v>45820.948070154751</v>
      </c>
      <c r="GC28" s="613">
        <f t="shared" ref="GC28" si="115">GA$28*$C$28</f>
        <v>46279.157550856296</v>
      </c>
      <c r="GE28" s="613">
        <f t="shared" ref="GE28" si="116">GC$28*$C$28</f>
        <v>46741.94912636486</v>
      </c>
      <c r="GG28" s="613">
        <f t="shared" ref="GG28" si="117">GE$28*$C$28</f>
        <v>47209.368617628512</v>
      </c>
      <c r="GI28" s="613">
        <f t="shared" ref="GI28" si="118">GG$28*$C$28</f>
        <v>47681.462303804794</v>
      </c>
      <c r="GK28" s="613">
        <f t="shared" ref="GK28" si="119">GI$28*$C$28</f>
        <v>48158.276926842846</v>
      </c>
      <c r="GM28" s="613">
        <f t="shared" ref="GM28" si="120">GK$28*$C$28</f>
        <v>48639.859696111278</v>
      </c>
      <c r="GO28" s="613">
        <f t="shared" ref="GO28" si="121">GM$28*$C$28</f>
        <v>49126.258293072395</v>
      </c>
      <c r="GQ28" s="613">
        <f t="shared" ref="GQ28" si="122">GO$28*$C$28</f>
        <v>49617.520876003116</v>
      </c>
      <c r="GS28" s="613">
        <f t="shared" ref="GS28" si="123">GQ$28*$C$28</f>
        <v>50113.696084763149</v>
      </c>
      <c r="GU28" s="613">
        <f t="shared" ref="GU28" si="124">GS$28*$C$28</f>
        <v>50614.83304561078</v>
      </c>
      <c r="GW28" s="613">
        <f t="shared" ref="GW28" si="125">GU$28*$C$28</f>
        <v>51120.981376066891</v>
      </c>
      <c r="GY28" s="613">
        <f t="shared" ref="GY28" si="126">GW$28*$C$28</f>
        <v>51632.191189827558</v>
      </c>
      <c r="HA28" s="613">
        <f t="shared" ref="HA28" si="127">GY$28*$C$28</f>
        <v>52148.513101725832</v>
      </c>
      <c r="HC28" s="613">
        <f t="shared" ref="HC28" si="128">HA$28*$C$28</f>
        <v>52669.998232743092</v>
      </c>
      <c r="HE28" s="613">
        <f t="shared" ref="HE28" si="129">HC$28*$C$28</f>
        <v>53196.698215070523</v>
      </c>
      <c r="HG28" s="613">
        <f t="shared" ref="HG28" si="130">HE$28*$C$28</f>
        <v>53728.665197221228</v>
      </c>
      <c r="HI28" s="613">
        <f t="shared" ref="HI28" si="131">HG$28*$C$28</f>
        <v>54265.951849193443</v>
      </c>
      <c r="HK28" s="613">
        <f t="shared" ref="HK28" si="132">HI$28*$C$28</f>
        <v>54808.611367685378</v>
      </c>
      <c r="HM28" s="613">
        <f t="shared" ref="HM28" si="133">HK$28*$C$28</f>
        <v>55356.697481362229</v>
      </c>
      <c r="HO28" s="613">
        <f t="shared" ref="HO28" si="134">HM$28*$C$28</f>
        <v>55910.26445617585</v>
      </c>
      <c r="HQ28" s="613">
        <f t="shared" ref="HQ28" si="135">HO$28*$C$28</f>
        <v>56469.367100737611</v>
      </c>
      <c r="HS28" s="613">
        <f t="shared" ref="HS28" si="136">HQ$28*$C$28</f>
        <v>57034.060771744989</v>
      </c>
      <c r="HU28" s="613">
        <f t="shared" ref="HU28" si="137">HS$28*$C$28</f>
        <v>57604.401379462441</v>
      </c>
      <c r="HW28" s="613">
        <f t="shared" ref="HW28" si="138">HU$28*$C$28</f>
        <v>58180.445393257069</v>
      </c>
      <c r="HY28" s="613">
        <f t="shared" ref="HY28" si="139">HW$28*$C$28</f>
        <v>58762.24984718964</v>
      </c>
      <c r="IA28" s="613">
        <f t="shared" ref="IA28" si="140">HY$28*$C$28</f>
        <v>59349.872345661533</v>
      </c>
      <c r="IC28" s="613">
        <f t="shared" ref="IC28" si="141">IA$28*$C$28</f>
        <v>59943.371069118148</v>
      </c>
      <c r="IE28" s="613">
        <f t="shared" ref="IE28" si="142">IC$28*$C$28</f>
        <v>60542.804779809332</v>
      </c>
      <c r="IG28" s="613">
        <f t="shared" ref="IG28" si="143">IE$28*$C$28</f>
        <v>61148.232827607426</v>
      </c>
      <c r="II28" s="613">
        <f t="shared" ref="II28" si="144">IG$28*$C$28</f>
        <v>61759.715155883503</v>
      </c>
      <c r="IK28" s="613">
        <f t="shared" ref="IK28" si="145">II$28*$C$28</f>
        <v>62377.312307442342</v>
      </c>
      <c r="IM28" s="613">
        <f t="shared" ref="IM28" si="146">IK$28*$C$28</f>
        <v>63001.085430516767</v>
      </c>
      <c r="IO28" s="613">
        <f t="shared" ref="IO28" si="147">IM$28*$C$28</f>
        <v>63631.096284821935</v>
      </c>
      <c r="IQ28" s="613">
        <f t="shared" ref="IQ28" si="148">IO$28*$C$28</f>
        <v>64267.407247670155</v>
      </c>
      <c r="IS28" s="613">
        <f t="shared" ref="IS28" si="149">IQ$28*$C$28</f>
        <v>64910.081320146855</v>
      </c>
      <c r="IU28" s="613">
        <f t="shared" ref="IU28" si="150">IS$28*$C$28</f>
        <v>65559.182133348324</v>
      </c>
      <c r="IW28" s="613">
        <f t="shared" ref="IW28" si="151">IU$28*$C$28</f>
        <v>66214.773954681805</v>
      </c>
      <c r="IY28" s="613">
        <f t="shared" ref="IY28" si="152">IW$28*$C$28</f>
        <v>66876.921694228629</v>
      </c>
      <c r="JA28" s="613">
        <f t="shared" ref="JA28" si="153">IY$28*$C$28</f>
        <v>67545.69091117091</v>
      </c>
      <c r="JC28" s="613">
        <f t="shared" ref="JC28" si="154">JA$28*$C$28</f>
        <v>68221.147820282626</v>
      </c>
      <c r="JE28" s="613">
        <f t="shared" ref="JE28" si="155">JC$28*$C$28</f>
        <v>68903.359298485448</v>
      </c>
      <c r="JG28" s="613">
        <f t="shared" ref="JG28" si="156">JE$28*$C$28</f>
        <v>69592.392891470299</v>
      </c>
      <c r="JI28" s="613">
        <f t="shared" ref="JI28" si="157">JG$28*$C$28</f>
        <v>70288.316820385007</v>
      </c>
      <c r="JK28" s="613">
        <f t="shared" ref="JK28" si="158">JI$28*$C$28</f>
        <v>70991.199988588851</v>
      </c>
      <c r="JM28" s="613">
        <f t="shared" ref="JM28" si="159">JK$28*$C$28</f>
        <v>71701.111988474746</v>
      </c>
      <c r="JO28" s="613">
        <f t="shared" ref="JO28" si="160">JM$28*$C$28</f>
        <v>72418.12310835949</v>
      </c>
      <c r="JQ28" s="613">
        <f t="shared" ref="JQ28" si="161">JO$28*$C$28</f>
        <v>73142.304339443086</v>
      </c>
      <c r="JS28" s="613">
        <f t="shared" ref="JS28" si="162">JQ$28*$C$28</f>
        <v>73873.727382837518</v>
      </c>
      <c r="JU28" s="613">
        <f t="shared" ref="JU28" si="163">JS$28*$C$28</f>
        <v>74612.464656665892</v>
      </c>
      <c r="JW28" s="613">
        <f t="shared" ref="JW28" si="164">JU$28*$C$28</f>
        <v>75358.589303232555</v>
      </c>
      <c r="JY28" s="613">
        <f t="shared" ref="JY28" si="165">JW$28*$C$28</f>
        <v>76112.175196264885</v>
      </c>
      <c r="KA28" s="613">
        <f t="shared" ref="KA28" si="166">JY$28*$C$28</f>
        <v>76873.296948227537</v>
      </c>
      <c r="KC28" s="613">
        <f t="shared" ref="KC28" si="167">KA$28*$C$28</f>
        <v>77642.029917709806</v>
      </c>
      <c r="KE28" s="613">
        <f t="shared" ref="KE28" si="168">KC$28*$C$28</f>
        <v>78418.450216886908</v>
      </c>
      <c r="KG28" s="613">
        <f t="shared" ref="KG28" si="169">KE$28*$C$28</f>
        <v>79202.634719055772</v>
      </c>
      <c r="KI28" s="613">
        <f t="shared" ref="KI28" si="170">KG$28*$C$28</f>
        <v>79994.661066246335</v>
      </c>
      <c r="KK28" s="613">
        <f t="shared" ref="KK28" si="171">KI$28*$C$28</f>
        <v>80794.607676908796</v>
      </c>
      <c r="KM28" s="613">
        <f t="shared" ref="KM28" si="172">KK$28*$C$28</f>
        <v>81602.553753677887</v>
      </c>
      <c r="KO28" s="613">
        <f t="shared" ref="KO28" si="173">KM$28*$C$28</f>
        <v>82418.579291214672</v>
      </c>
      <c r="KQ28" s="613">
        <f t="shared" ref="KQ28" si="174">KO$28*$C$28</f>
        <v>83242.765084126819</v>
      </c>
      <c r="KS28" s="613">
        <f t="shared" ref="KS28" si="175">KQ$28*$C$28</f>
        <v>84075.192734968092</v>
      </c>
      <c r="KU28" s="613">
        <f t="shared" ref="KU28" si="176">KS$28*$C$28</f>
        <v>84915.944662317779</v>
      </c>
      <c r="KW28" s="613">
        <f t="shared" ref="KW28" si="177">KU$28*$C$28</f>
        <v>85765.104108940955</v>
      </c>
      <c r="KY28" s="613">
        <f t="shared" ref="KY28" si="178">KW$28*$C$28</f>
        <v>86622.755150030367</v>
      </c>
      <c r="LA28" s="613">
        <f t="shared" ref="LA28" si="179">KY$28*$C$28</f>
        <v>87488.982701530666</v>
      </c>
      <c r="LC28" s="613">
        <f t="shared" ref="LC28" si="180">LA$28*$C$28</f>
        <v>88363.872528545966</v>
      </c>
      <c r="LE28" s="613">
        <f t="shared" ref="LE28" si="181">LC$28*$C$28</f>
        <v>89247.511253831428</v>
      </c>
      <c r="LG28" s="613">
        <f t="shared" ref="LG28" si="182">LE$28*$C$28</f>
        <v>90139.986366369747</v>
      </c>
      <c r="LI28" s="613">
        <f t="shared" ref="LI28" si="183">LG$28*$C$28</f>
        <v>91041.386230033444</v>
      </c>
      <c r="LK28" s="613">
        <f t="shared" ref="LK28" si="184">LI$28*$C$28</f>
        <v>91951.800092333782</v>
      </c>
      <c r="LM28" s="613">
        <f t="shared" ref="LM28" si="185">LK$28*$C$28</f>
        <v>92871.318093257127</v>
      </c>
      <c r="LO28" s="613">
        <f t="shared" ref="LO28" si="186">LM$28*$C$28</f>
        <v>93800.031274189692</v>
      </c>
      <c r="LQ28" s="613">
        <f t="shared" ref="LQ28" si="187">LO$28*$C$28</f>
        <v>94738.031586931596</v>
      </c>
      <c r="LS28" s="613">
        <f t="shared" ref="LS28" si="188">LQ$28*$C$28</f>
        <v>95685.411902800915</v>
      </c>
      <c r="LU28" s="613">
        <f t="shared" ref="LU28" si="189">LS$28*$C$28</f>
        <v>96642.266021828924</v>
      </c>
      <c r="LW28" s="613">
        <f t="shared" ref="LW28" si="190">LU$28*$C$28</f>
        <v>97608.688682047214</v>
      </c>
      <c r="LY28" s="613">
        <f t="shared" ref="LY28" si="191">LW$28*$C$28</f>
        <v>98584.775568867684</v>
      </c>
      <c r="MA28" s="613">
        <f t="shared" ref="MA28" si="192">LY$28*$C$28</f>
        <v>99570.623324556364</v>
      </c>
      <c r="MC28" s="613">
        <f t="shared" ref="MC28" si="193">MA$28*$C$28</f>
        <v>100566.32955780193</v>
      </c>
      <c r="ME28" s="613">
        <f t="shared" ref="ME28" si="194">MC$28*$C$28</f>
        <v>101571.99285337995</v>
      </c>
      <c r="MG28" s="613">
        <f t="shared" ref="MG28" si="195">ME$28*$C$28</f>
        <v>102587.71278191375</v>
      </c>
      <c r="MI28" s="613">
        <f t="shared" ref="MI28" si="196">MG$28*$C$28</f>
        <v>103613.58990973289</v>
      </c>
      <c r="MK28" s="613">
        <f t="shared" ref="MK28" si="197">MI$28*$C$28</f>
        <v>104649.72580883022</v>
      </c>
      <c r="MM28" s="613">
        <f t="shared" ref="MM28" si="198">MK$28*$C$28</f>
        <v>105696.22306691852</v>
      </c>
      <c r="MO28" s="613">
        <f t="shared" ref="MO28" si="199">MM$28*$C$28</f>
        <v>106753.18529758771</v>
      </c>
      <c r="MQ28" s="613">
        <f t="shared" ref="MQ28" si="200">MO$28*$C$28</f>
        <v>107820.71715056359</v>
      </c>
      <c r="MS28" s="613">
        <f t="shared" ref="MS28" si="201">MQ$28*$C$28</f>
        <v>108898.92432206923</v>
      </c>
      <c r="MU28" s="613">
        <f t="shared" ref="MU28" si="202">MS$28*$C$28</f>
        <v>109987.91356528993</v>
      </c>
      <c r="MW28" s="613">
        <f t="shared" ref="MW28" si="203">MU$28*$C$28</f>
        <v>111087.79270094282</v>
      </c>
      <c r="MY28" s="613">
        <f t="shared" ref="MY28" si="204">MW$28*$C$28</f>
        <v>112198.67062795225</v>
      </c>
      <c r="NA28" s="613">
        <f t="shared" ref="NA28" si="205">MY$28*$C$28</f>
        <v>113320.65733423177</v>
      </c>
      <c r="NC28" s="613">
        <f t="shared" ref="NC28" si="206">NA$28*$C$28</f>
        <v>114453.86390757409</v>
      </c>
      <c r="NE28" s="613">
        <f t="shared" ref="NE28" si="207">NC$28*$C$28</f>
        <v>115598.40254664984</v>
      </c>
      <c r="NG28" s="613">
        <f t="shared" ref="NG28" si="208">NE$28*$C$28</f>
        <v>116754.38657211635</v>
      </c>
      <c r="NI28" s="613">
        <f t="shared" ref="NI28" si="209">NG$28*$C$28</f>
        <v>117921.93043783751</v>
      </c>
      <c r="NK28" s="613">
        <f t="shared" ref="NK28" si="210">NI$28*$C$28</f>
        <v>119101.14974221589</v>
      </c>
      <c r="NM28" s="613">
        <f t="shared" ref="NM28" si="211">NK$28*$C$28</f>
        <v>120292.16123963805</v>
      </c>
      <c r="NO28" s="613">
        <f t="shared" ref="NO28" si="212">NM$28*$C$28</f>
        <v>121495.08285203444</v>
      </c>
      <c r="NQ28" s="613">
        <f t="shared" ref="NQ28" si="213">NO$28*$C$28</f>
        <v>122710.03368055478</v>
      </c>
      <c r="NS28" s="613">
        <f t="shared" ref="NS28" si="214">NQ$28*$C$28</f>
        <v>123937.13401736034</v>
      </c>
      <c r="NU28" s="613">
        <f t="shared" ref="NU28" si="215">NS$28*$C$28</f>
        <v>125176.50535753394</v>
      </c>
      <c r="NW28" s="613">
        <f t="shared" ref="NW28" si="216">NU$28*$C$28</f>
        <v>126428.27041110928</v>
      </c>
      <c r="NY28" s="613">
        <f t="shared" ref="NY28" si="217">NW$28*$C$28</f>
        <v>127692.55311522036</v>
      </c>
      <c r="OA28" s="613">
        <f t="shared" ref="OA28" si="218">NY$28*$C$28</f>
        <v>128969.47864637256</v>
      </c>
      <c r="OC28" s="613">
        <f t="shared" ref="OC28" si="219">OA$28*$C$28</f>
        <v>130259.17343283629</v>
      </c>
      <c r="OE28" s="613">
        <f t="shared" ref="OE28" si="220">OC$28*$C$28</f>
        <v>131561.76516716465</v>
      </c>
      <c r="OG28" s="613">
        <f t="shared" ref="OG28" si="221">OE$28*$C$28</f>
        <v>132877.38281883628</v>
      </c>
      <c r="OI28" s="613">
        <f t="shared" ref="OI28" si="222">OG$28*$C$28</f>
        <v>134206.15664702465</v>
      </c>
      <c r="OK28" s="613">
        <f t="shared" ref="OK28" si="223">OI$28*$C$28</f>
        <v>135548.2182134949</v>
      </c>
      <c r="OM28" s="613">
        <f t="shared" ref="OM28" si="224">OK$28*$C$28</f>
        <v>136903.70039562986</v>
      </c>
      <c r="OO28" s="613">
        <f t="shared" ref="OO28" si="225">OM$28*$C$28</f>
        <v>138272.73739958616</v>
      </c>
      <c r="OQ28" s="613">
        <f t="shared" ref="OQ28" si="226">OO$28*$C$28</f>
        <v>139655.46477358203</v>
      </c>
      <c r="OS28" s="613">
        <f t="shared" ref="OS28" si="227">OQ$28*$C$28</f>
        <v>141052.01942131785</v>
      </c>
      <c r="OU28" s="613">
        <f t="shared" ref="OU28" si="228">OS$28*$C$28</f>
        <v>142462.53961553102</v>
      </c>
      <c r="OW28" s="613">
        <f t="shared" ref="OW28" si="229">OU$28*$C$28</f>
        <v>143887.16501168633</v>
      </c>
      <c r="OY28" s="613">
        <f t="shared" ref="OY28" si="230">OW$28*$C$28</f>
        <v>145326.0366618032</v>
      </c>
      <c r="PA28" s="613">
        <f t="shared" ref="PA28" si="231">OY$28*$C$28</f>
        <v>146779.29702842122</v>
      </c>
      <c r="PC28" s="613">
        <f t="shared" ref="PC28" si="232">PA$28*$C$28</f>
        <v>148247.08999870543</v>
      </c>
      <c r="PE28" s="613">
        <f t="shared" ref="PE28" si="233">PC$28*$C$28</f>
        <v>149729.56089869249</v>
      </c>
      <c r="PG28" s="613">
        <f t="shared" ref="PG28" si="234">PE$28*$C$28</f>
        <v>151226.85650767942</v>
      </c>
      <c r="PI28" s="613">
        <f t="shared" ref="PI28" si="235">PG$28*$C$28</f>
        <v>152739.1250727562</v>
      </c>
      <c r="PK28" s="613">
        <f t="shared" ref="PK28" si="236">PI$28*$C$28</f>
        <v>154266.51632348375</v>
      </c>
      <c r="PM28" s="613">
        <f t="shared" ref="PM28" si="237">PK$28*$C$28</f>
        <v>155809.18148671859</v>
      </c>
      <c r="PO28" s="613">
        <f t="shared" ref="PO28" si="238">PM$28*$C$28</f>
        <v>157367.27330158578</v>
      </c>
      <c r="PQ28" s="613">
        <f t="shared" ref="PQ28" si="239">PO$28*$C$28</f>
        <v>158940.94603460163</v>
      </c>
      <c r="PS28" s="613">
        <f t="shared" ref="PS28" si="240">PQ$28*$C$28</f>
        <v>160530.35549494764</v>
      </c>
      <c r="PU28" s="613">
        <f t="shared" ref="PU28" si="241">PS$28*$C$28</f>
        <v>162135.65904989711</v>
      </c>
      <c r="PW28" s="613">
        <f t="shared" ref="PW28" si="242">PU$28*$C$28</f>
        <v>163757.01564039607</v>
      </c>
      <c r="PY28" s="613">
        <f t="shared" ref="PY28" si="243">PW$28*$C$28</f>
        <v>165394.58579680003</v>
      </c>
      <c r="QA28" s="613">
        <f t="shared" ref="QA28" si="244">PY$28*$C$28</f>
        <v>167048.53165476804</v>
      </c>
      <c r="QC28" s="613">
        <f t="shared" ref="QC28" si="245">QA$28*$C$28</f>
        <v>168719.01697131572</v>
      </c>
      <c r="QE28" s="613">
        <f t="shared" ref="QE28" si="246">QC$28*$C$28</f>
        <v>170406.20714102889</v>
      </c>
      <c r="QG28" s="613">
        <f t="shared" ref="QG28" si="247">QE$28*$C$28</f>
        <v>172110.26921243919</v>
      </c>
      <c r="QI28" s="613">
        <f t="shared" ref="QI28" si="248">QG$28*$C$28</f>
        <v>173831.3719045636</v>
      </c>
      <c r="QK28" s="613">
        <f t="shared" ref="QK28" si="249">QI$28*$C$28</f>
        <v>175569.68562360923</v>
      </c>
      <c r="QM28" s="613">
        <f t="shared" ref="QM28" si="250">QK$28*$C$28</f>
        <v>177325.38247984531</v>
      </c>
      <c r="QO28" s="613">
        <f t="shared" ref="QO28" si="251">QM$28*$C$28</f>
        <v>179098.63630464376</v>
      </c>
      <c r="QQ28" s="613">
        <f t="shared" ref="QQ28" si="252">QO$28*$C$28</f>
        <v>180889.62266769022</v>
      </c>
      <c r="QS28" s="613">
        <f t="shared" ref="QS28" si="253">QQ$28*$C$28</f>
        <v>182698.51889436712</v>
      </c>
      <c r="QU28" s="613">
        <f t="shared" ref="QU28" si="254">QS$28*$C$28</f>
        <v>184525.50408331081</v>
      </c>
      <c r="QW28" s="613">
        <f t="shared" ref="QW28" si="255">QU$28*$C$28</f>
        <v>186370.75912414392</v>
      </c>
      <c r="QY28" s="613">
        <f t="shared" ref="QY28" si="256">QW$28*$C$28</f>
        <v>188234.46671538535</v>
      </c>
      <c r="RA28" s="613">
        <f t="shared" ref="RA28" si="257">QY$28*$C$28</f>
        <v>190116.81138253922</v>
      </c>
      <c r="RC28" s="613">
        <f t="shared" ref="RC28" si="258">RA$28*$C$28</f>
        <v>192017.97949636463</v>
      </c>
      <c r="RE28" s="613">
        <f t="shared" ref="RE28" si="259">RC$28*$C$28</f>
        <v>193938.15929132828</v>
      </c>
      <c r="RG28" s="613">
        <f t="shared" ref="RG28" si="260">RE$28*$C$28</f>
        <v>195877.54088424158</v>
      </c>
      <c r="RI28" s="613">
        <f t="shared" ref="RI28" si="261">RG$28*$C$28</f>
        <v>197836.316293084</v>
      </c>
      <c r="RK28" s="613">
        <f t="shared" ref="RK28" si="262">RI$28*$C$28</f>
        <v>199814.67945601486</v>
      </c>
      <c r="RM28" s="613">
        <f t="shared" ref="RM28" si="263">RK$28*$C$28</f>
        <v>201812.82625057502</v>
      </c>
      <c r="RO28" s="613">
        <f t="shared" ref="RO28" si="264">RM$28*$C$28</f>
        <v>203830.95451308077</v>
      </c>
      <c r="RQ28" s="613">
        <f t="shared" ref="RQ28" si="265">RO$28*$C$28</f>
        <v>205869.26405821159</v>
      </c>
      <c r="RS28" s="613">
        <f t="shared" ref="RS28" si="266">RQ$28*$C$28</f>
        <v>207927.95669879371</v>
      </c>
      <c r="RU28" s="613">
        <f t="shared" ref="RU28" si="267">RS$28*$C$28</f>
        <v>210007.23626578166</v>
      </c>
      <c r="RW28" s="613">
        <f t="shared" ref="RW28" si="268">RU$28*$C$28</f>
        <v>212107.30862843947</v>
      </c>
      <c r="RY28" s="613">
        <f t="shared" ref="RY28" si="269">RW$28*$C$28</f>
        <v>214228.38171472386</v>
      </c>
      <c r="SA28" s="613">
        <f t="shared" ref="SA28" si="270">RY$28*$C$28</f>
        <v>216370.66553187111</v>
      </c>
      <c r="SC28" s="613">
        <f t="shared" ref="SC28" si="271">SA$28*$C$28</f>
        <v>218534.37218718982</v>
      </c>
      <c r="SE28" s="613">
        <f t="shared" ref="SE28" si="272">SC$28*$C$28</f>
        <v>220719.71590906172</v>
      </c>
      <c r="SG28" s="613">
        <f t="shared" ref="SG28" si="273">SE$28*$C$28</f>
        <v>222926.91306815235</v>
      </c>
      <c r="SI28" s="613">
        <f t="shared" ref="SI28" si="274">SG$28*$C$28</f>
        <v>225156.18219883388</v>
      </c>
      <c r="SK28" s="613">
        <f t="shared" ref="SK28" si="275">SI$28*$C$28</f>
        <v>227407.74402082223</v>
      </c>
      <c r="SM28" s="613">
        <f t="shared" ref="SM28" si="276">SK$28*$C$28</f>
        <v>229681.82146103046</v>
      </c>
      <c r="SO28" s="613">
        <f t="shared" ref="SO28" si="277">SM$28*$C$28</f>
        <v>231978.63967564076</v>
      </c>
      <c r="SQ28" s="613">
        <f t="shared" ref="SQ28" si="278">SO$28*$C$28</f>
        <v>234298.42607239718</v>
      </c>
      <c r="SS28" s="613">
        <f t="shared" ref="SS28" si="279">SQ$28*$C$28</f>
        <v>236641.41033312117</v>
      </c>
      <c r="SU28" s="613">
        <f t="shared" ref="SU28" si="280">SS$28*$C$28</f>
        <v>239007.82443645239</v>
      </c>
      <c r="SW28" s="613">
        <f t="shared" ref="SW28" si="281">SU$28*$C$28</f>
        <v>241397.90268081691</v>
      </c>
      <c r="SY28" s="613">
        <f t="shared" ref="SY28" si="282">SW$28*$C$28</f>
        <v>243811.88170762509</v>
      </c>
      <c r="TA28" s="613">
        <f t="shared" ref="TA28" si="283">SY$28*$C$28</f>
        <v>246250.00052470135</v>
      </c>
      <c r="TC28" s="613">
        <f t="shared" ref="TC28" si="284">TA$28*$C$28</f>
        <v>248712.50052994836</v>
      </c>
      <c r="TE28" s="613">
        <f t="shared" ref="TE28" si="285">TC$28*$C$28</f>
        <v>251199.62553524785</v>
      </c>
      <c r="TG28" s="613">
        <f t="shared" ref="TG28" si="286">TE$28*$C$28</f>
        <v>253711.62179060033</v>
      </c>
      <c r="TI28" s="613">
        <f t="shared" ref="TI28" si="287">TG$28*$C$28</f>
        <v>256248.73800850633</v>
      </c>
      <c r="TK28" s="613">
        <f t="shared" ref="TK28" si="288">TI$28*$C$28</f>
        <v>258811.22538859141</v>
      </c>
      <c r="TM28" s="613">
        <f t="shared" ref="TM28" si="289">TK$28*$C$28</f>
        <v>261399.33764247733</v>
      </c>
      <c r="TO28" s="613">
        <f t="shared" ref="TO28" si="290">TM$28*$C$28</f>
        <v>264013.33101890213</v>
      </c>
      <c r="TQ28" s="613">
        <f t="shared" ref="TQ28" si="291">TO$28*$C$28</f>
        <v>266653.46432909113</v>
      </c>
      <c r="TS28" s="613">
        <f t="shared" ref="TS28" si="292">TQ$28*$C$28</f>
        <v>269319.99897238205</v>
      </c>
      <c r="TU28" s="613">
        <f t="shared" ref="TU28" si="293">TS$28*$C$28</f>
        <v>272013.19896210585</v>
      </c>
      <c r="TW28" s="613">
        <f t="shared" ref="TW28" si="294">TU$28*$C$28</f>
        <v>274733.33095172688</v>
      </c>
      <c r="TY28" s="613">
        <f t="shared" ref="TY28" si="295">TW$28*$C$28</f>
        <v>277480.66426124418</v>
      </c>
      <c r="UA28" s="613">
        <f t="shared" ref="UA28" si="296">TY$28*$C$28</f>
        <v>280255.47090385662</v>
      </c>
      <c r="UC28" s="613">
        <f t="shared" ref="UC28" si="297">UA$28*$C$28</f>
        <v>283058.0256128952</v>
      </c>
      <c r="UE28" s="613">
        <f t="shared" ref="UE28" si="298">UC$28*$C$28</f>
        <v>285888.60586902418</v>
      </c>
      <c r="UG28" s="613">
        <f t="shared" ref="UG28" si="299">UE$28*$C$28</f>
        <v>288747.49192771444</v>
      </c>
      <c r="UI28" s="613">
        <f t="shared" ref="UI28" si="300">UG$28*$C$28</f>
        <v>291634.96684699156</v>
      </c>
      <c r="UK28" s="613">
        <f t="shared" ref="UK28" si="301">UI$28*$C$28</f>
        <v>294551.31651546148</v>
      </c>
      <c r="UM28" s="613">
        <f t="shared" ref="UM28" si="302">UK$28*$C$28</f>
        <v>297496.82968061609</v>
      </c>
      <c r="UO28" s="613">
        <f t="shared" ref="UO28" si="303">UM$28*$C$28</f>
        <v>300471.79797742225</v>
      </c>
      <c r="UQ28" s="613">
        <f t="shared" ref="UQ28" si="304">UO$28*$C$28</f>
        <v>303476.51595719648</v>
      </c>
      <c r="US28" s="613">
        <f t="shared" ref="US28" si="305">UQ$28*$C$28</f>
        <v>306511.28111676843</v>
      </c>
      <c r="UU28" s="613">
        <f t="shared" ref="UU28" si="306">US$28*$C$28</f>
        <v>309576.39392793609</v>
      </c>
      <c r="UW28" s="613">
        <f t="shared" ref="UW28" si="307">UU$28*$C$28</f>
        <v>312672.15786721546</v>
      </c>
      <c r="UY28" s="613">
        <f t="shared" ref="UY28" si="308">UW$28*$C$28</f>
        <v>315798.87944588764</v>
      </c>
      <c r="VA28" s="613">
        <f t="shared" ref="VA28" si="309">UY$28*$C$28</f>
        <v>318956.86824034649</v>
      </c>
      <c r="VC28" s="613">
        <f t="shared" ref="VC28" si="310">VA$28*$C$28</f>
        <v>322146.43692274997</v>
      </c>
      <c r="VE28" s="613">
        <f t="shared" ref="VE28" si="311">VC$28*$C$28</f>
        <v>325367.9012919775</v>
      </c>
      <c r="VG28" s="613">
        <f t="shared" ref="VG28" si="312">VE$28*$C$28</f>
        <v>328621.58030489727</v>
      </c>
      <c r="VI28" s="613">
        <f t="shared" ref="VI28" si="313">VG$28*$C$28</f>
        <v>331907.79610794625</v>
      </c>
      <c r="VK28" s="613">
        <f t="shared" ref="VK28" si="314">VI$28*$C$28</f>
        <v>335226.87406902574</v>
      </c>
      <c r="VM28" s="613">
        <f t="shared" ref="VM28" si="315">VK$28*$C$28</f>
        <v>338579.142809716</v>
      </c>
      <c r="VO28" s="613">
        <f t="shared" ref="VO28" si="316">VM$28*$C$28</f>
        <v>341964.93423781317</v>
      </c>
      <c r="VQ28" s="613">
        <f t="shared" ref="VQ28" si="317">VO$28*$C$28</f>
        <v>345384.58358019131</v>
      </c>
      <c r="VS28" s="613">
        <f t="shared" ref="VS28" si="318">VQ$28*$C$28</f>
        <v>348838.42941599322</v>
      </c>
      <c r="VU28" s="613">
        <f t="shared" ref="VU28" si="319">VS$28*$C$28</f>
        <v>352326.81371015316</v>
      </c>
      <c r="VW28" s="613">
        <f t="shared" ref="VW28" si="320">VU$28*$C$28</f>
        <v>355850.08184725471</v>
      </c>
      <c r="VY28" s="613">
        <f t="shared" ref="VY28" si="321">VW$28*$C$28</f>
        <v>359408.58266572724</v>
      </c>
      <c r="WA28" s="613">
        <f t="shared" ref="WA28" si="322">VY$28*$C$28</f>
        <v>363002.66849238449</v>
      </c>
      <c r="WC28" s="613">
        <f t="shared" ref="WC28" si="323">WA$28*$C$28</f>
        <v>366632.69517730834</v>
      </c>
      <c r="WE28" s="613">
        <f t="shared" ref="WE28" si="324">WC$28*$C$28</f>
        <v>370299.02212908142</v>
      </c>
      <c r="WG28" s="613">
        <f t="shared" ref="WG28" si="325">WE$28*$C$28</f>
        <v>374002.01235037221</v>
      </c>
      <c r="WI28" s="613">
        <f t="shared" ref="WI28" si="326">WG$28*$C$28</f>
        <v>377742.03247387597</v>
      </c>
      <c r="WK28" s="613">
        <f t="shared" ref="WK28" si="327">WI$28*$C$28</f>
        <v>381519.45279861474</v>
      </c>
      <c r="WM28" s="613">
        <f t="shared" ref="WM28" si="328">WK$28*$C$28</f>
        <v>385334.64732660091</v>
      </c>
      <c r="WO28" s="613">
        <f t="shared" ref="WO28" si="329">WM$28*$C$28</f>
        <v>389187.99379986693</v>
      </c>
      <c r="WQ28" s="613">
        <f t="shared" ref="WQ28" si="330">WO$28*$C$28</f>
        <v>393079.87373786559</v>
      </c>
      <c r="WS28" s="613">
        <f t="shared" ref="WS28" si="331">WQ$28*$C$28</f>
        <v>397010.67247524427</v>
      </c>
      <c r="WU28" s="613">
        <f t="shared" ref="WU28" si="332">WS$28*$C$28</f>
        <v>400980.77919999673</v>
      </c>
      <c r="WW28" s="613">
        <f t="shared" ref="WW28" si="333">WU$28*$C$28</f>
        <v>404990.58699199668</v>
      </c>
      <c r="WY28" s="613">
        <f t="shared" ref="WY28" si="334">WW$28*$C$28</f>
        <v>409040.49286191666</v>
      </c>
      <c r="XA28" s="613">
        <f t="shared" ref="XA28" si="335">WY$28*$C$28</f>
        <v>413130.89779053582</v>
      </c>
      <c r="XC28" s="613">
        <f t="shared" ref="XC28" si="336">XA$28*$C$28</f>
        <v>417262.20676844119</v>
      </c>
      <c r="XE28" s="613">
        <f t="shared" ref="XE28" si="337">XC$28*$C$28</f>
        <v>421434.82883612561</v>
      </c>
      <c r="XG28" s="613">
        <f t="shared" ref="XG28" si="338">XE$28*$C$28</f>
        <v>425649.17712448689</v>
      </c>
      <c r="XI28" s="613">
        <f t="shared" ref="XI28" si="339">XG$28*$C$28</f>
        <v>429905.66889573174</v>
      </c>
      <c r="XK28" s="613">
        <f t="shared" ref="XK28" si="340">XI$28*$C$28</f>
        <v>434204.72558468906</v>
      </c>
      <c r="XM28" s="613">
        <f t="shared" ref="XM28" si="341">XK$28*$C$28</f>
        <v>438546.77284053597</v>
      </c>
      <c r="XO28" s="613">
        <f t="shared" ref="XO28" si="342">XM$28*$C$28</f>
        <v>442932.24056894134</v>
      </c>
      <c r="XQ28" s="613">
        <f t="shared" ref="XQ28" si="343">XO$28*$C$28</f>
        <v>447361.56297463074</v>
      </c>
      <c r="XS28" s="613">
        <f t="shared" ref="XS28" si="344">XQ$28*$C$28</f>
        <v>451835.17860437703</v>
      </c>
      <c r="XU28" s="613">
        <f t="shared" ref="XU28" si="345">XS$28*$C$28</f>
        <v>456353.53039042081</v>
      </c>
      <c r="XW28" s="613">
        <f t="shared" ref="XW28" si="346">XU$28*$C$28</f>
        <v>460917.06569432502</v>
      </c>
      <c r="XY28" s="613">
        <f t="shared" ref="XY28" si="347">XW$28*$C$28</f>
        <v>465526.23635126825</v>
      </c>
      <c r="YA28" s="613">
        <f t="shared" ref="YA28" si="348">XY$28*$C$28</f>
        <v>470181.49871478096</v>
      </c>
      <c r="YC28" s="613">
        <f t="shared" ref="YC28" si="349">YA$28*$C$28</f>
        <v>474883.31370192877</v>
      </c>
      <c r="YE28" s="613">
        <f t="shared" ref="YE28" si="350">YC$28*$C$28</f>
        <v>479632.14683894807</v>
      </c>
      <c r="YG28" s="613">
        <f t="shared" ref="YG28" si="351">YE$28*$C$28</f>
        <v>484428.46830733755</v>
      </c>
      <c r="YI28" s="613">
        <f t="shared" ref="YI28" si="352">YG$28*$C$28</f>
        <v>489272.75299041095</v>
      </c>
      <c r="YK28" s="613">
        <f t="shared" ref="YK28" si="353">YI$28*$C$28</f>
        <v>494165.48052031506</v>
      </c>
      <c r="YM28" s="613">
        <f t="shared" ref="YM28" si="354">YK$28*$C$28</f>
        <v>499107.1353255182</v>
      </c>
      <c r="YO28" s="613">
        <f t="shared" ref="YO28" si="355">YM$28*$C$28</f>
        <v>504098.20667877339</v>
      </c>
      <c r="YQ28" s="613">
        <f t="shared" ref="YQ28" si="356">YO$28*$C$28</f>
        <v>509139.18874556111</v>
      </c>
      <c r="YS28" s="613">
        <f t="shared" ref="YS28" si="357">YQ$28*$C$28</f>
        <v>514230.58063301671</v>
      </c>
      <c r="YU28" s="613">
        <f t="shared" ref="YU28" si="358">YS$28*$C$28</f>
        <v>519372.88643934688</v>
      </c>
      <c r="YW28" s="613">
        <f t="shared" ref="YW28" si="359">YU$28*$C$28</f>
        <v>524566.61530374037</v>
      </c>
      <c r="YY28" s="613">
        <f t="shared" ref="YY28" si="360">YW$28*$C$28</f>
        <v>529812.28145677783</v>
      </c>
      <c r="ZA28" s="613">
        <f t="shared" ref="ZA28" si="361">YY$28*$C$28</f>
        <v>535110.40427134559</v>
      </c>
      <c r="ZC28" s="613">
        <f t="shared" ref="ZC28" si="362">ZA$28*$C$28</f>
        <v>540461.508314059</v>
      </c>
      <c r="ZE28" s="613">
        <f t="shared" ref="ZE28" si="363">ZC$28*$C$28</f>
        <v>545866.12339719955</v>
      </c>
      <c r="ZG28" s="613">
        <f t="shared" ref="ZG28" si="364">ZE$28*$C$28</f>
        <v>551324.7846311715</v>
      </c>
      <c r="ZI28" s="613">
        <f t="shared" ref="ZI28" si="365">ZG$28*$C$28</f>
        <v>556838.03247748327</v>
      </c>
      <c r="ZK28" s="613">
        <f t="shared" ref="ZK28" si="366">ZI$28*$C$28</f>
        <v>562406.41280225816</v>
      </c>
      <c r="ZM28" s="613">
        <f t="shared" ref="ZM28" si="367">ZK$28*$C$28</f>
        <v>568030.4769302808</v>
      </c>
      <c r="ZO28" s="613">
        <f t="shared" ref="ZO28" si="368">ZM$28*$C$28</f>
        <v>573710.78169958363</v>
      </c>
      <c r="ZQ28" s="613">
        <f t="shared" ref="ZQ28" si="369">ZO$28*$C$28</f>
        <v>579447.88951657945</v>
      </c>
      <c r="ZS28" s="613">
        <f t="shared" ref="ZS28" si="370">ZQ$28*$C$28</f>
        <v>585242.36841174529</v>
      </c>
      <c r="ZU28" s="613">
        <f t="shared" ref="ZU28" si="371">ZS$28*$C$28</f>
        <v>591094.79209586279</v>
      </c>
      <c r="ZW28" s="613">
        <f t="shared" ref="ZW28" si="372">ZU$28*$C$28</f>
        <v>597005.74001682142</v>
      </c>
      <c r="ZY28" s="613">
        <f t="shared" ref="ZY28" si="373">ZW$28*$C$28</f>
        <v>602975.79741698969</v>
      </c>
      <c r="AAA28" s="613">
        <f t="shared" ref="AAA28" si="374">ZY$28*$C$28</f>
        <v>609005.55539115961</v>
      </c>
      <c r="AAC28" s="613">
        <f t="shared" ref="AAC28" si="375">AAA$28*$C$28</f>
        <v>615095.61094507121</v>
      </c>
      <c r="AAE28" s="613">
        <f t="shared" ref="AAE28" si="376">AAC$28*$C$28</f>
        <v>621246.56705452187</v>
      </c>
      <c r="AAG28" s="613">
        <f t="shared" ref="AAG28" si="377">AAE$28*$C$28</f>
        <v>627459.03272506711</v>
      </c>
      <c r="AAI28" s="613">
        <f t="shared" ref="AAI28" si="378">AAG$28*$C$28</f>
        <v>633733.62305231777</v>
      </c>
      <c r="AAK28" s="613">
        <f t="shared" ref="AAK28" si="379">AAI$28*$C$28</f>
        <v>640070.95928284095</v>
      </c>
      <c r="AAM28" s="613">
        <f t="shared" ref="AAM28" si="380">AAK$28*$C$28</f>
        <v>646471.66887566936</v>
      </c>
      <c r="AAO28" s="613">
        <f t="shared" ref="AAO28" si="381">AAM$28*$C$28</f>
        <v>652936.38556442608</v>
      </c>
      <c r="AAQ28" s="613">
        <f t="shared" ref="AAQ28" si="382">AAO$28*$C$28</f>
        <v>659465.74942007032</v>
      </c>
      <c r="AAS28" s="613">
        <f t="shared" ref="AAS28" si="383">AAQ$28*$C$28</f>
        <v>666060.40691427107</v>
      </c>
      <c r="AAU28" s="613">
        <f t="shared" ref="AAU28" si="384">AAS$28*$C$28</f>
        <v>672721.01098341378</v>
      </c>
      <c r="AAW28" s="613">
        <f t="shared" ref="AAW28" si="385">AAU$28*$C$28</f>
        <v>679448.22109324788</v>
      </c>
      <c r="AAY28" s="613">
        <f t="shared" ref="AAY28" si="386">AAW$28*$C$28</f>
        <v>686242.70330418041</v>
      </c>
      <c r="ABA28" s="613">
        <f t="shared" ref="ABA28" si="387">AAY$28*$C$28</f>
        <v>693105.13033722225</v>
      </c>
      <c r="ABC28" s="613">
        <f t="shared" ref="ABC28" si="388">ABA$28*$C$28</f>
        <v>700036.1816405945</v>
      </c>
      <c r="ABE28" s="613">
        <f t="shared" ref="ABE28" si="389">ABC$28*$C$28</f>
        <v>707036.5434570004</v>
      </c>
      <c r="ABG28" s="613">
        <f t="shared" ref="ABG28" si="390">ABE$28*$C$28</f>
        <v>714106.90889157041</v>
      </c>
      <c r="ABI28" s="613">
        <f t="shared" ref="ABI28" si="391">ABG$28*$C$28</f>
        <v>721247.97798048612</v>
      </c>
      <c r="ABK28" s="613">
        <f t="shared" ref="ABK28" si="392">ABI$28*$C$28</f>
        <v>728460.45776029094</v>
      </c>
      <c r="ABM28" s="613">
        <f t="shared" ref="ABM28" si="393">ABK$28*$C$28</f>
        <v>735745.06233789388</v>
      </c>
      <c r="ABO28" s="613">
        <f t="shared" ref="ABO28" si="394">ABM$28*$C$28</f>
        <v>743102.51296127285</v>
      </c>
      <c r="ABQ28" s="613">
        <f t="shared" ref="ABQ28" si="395">ABO$28*$C$28</f>
        <v>750533.53809088562</v>
      </c>
      <c r="ABS28" s="613">
        <f t="shared" ref="ABS28" si="396">ABQ$28*$C$28</f>
        <v>758038.87347179453</v>
      </c>
      <c r="ABU28" s="613">
        <f t="shared" ref="ABU28" si="397">ABS$28*$C$28</f>
        <v>765619.2622065125</v>
      </c>
      <c r="ABW28" s="613">
        <f t="shared" ref="ABW28" si="398">ABU$28*$C$28</f>
        <v>773275.45482857758</v>
      </c>
      <c r="ABY28" s="613">
        <f t="shared" ref="ABY28" si="399">ABW$28*$C$28</f>
        <v>781008.20937686332</v>
      </c>
      <c r="ACA28" s="613">
        <f t="shared" ref="ACA28" si="400">ABY$28*$C$28</f>
        <v>788818.29147063196</v>
      </c>
      <c r="ACC28" s="613">
        <f t="shared" ref="ACC28" si="401">ACA$28*$C$28</f>
        <v>796706.47438533825</v>
      </c>
      <c r="ACE28" s="613">
        <f t="shared" ref="ACE28" si="402">ACC$28*$C$28</f>
        <v>804673.53912919166</v>
      </c>
      <c r="ACG28" s="613">
        <f t="shared" ref="ACG28" si="403">ACE$28*$C$28</f>
        <v>812720.27452048357</v>
      </c>
      <c r="ACI28" s="613">
        <f t="shared" ref="ACI28" si="404">ACG$28*$C$28</f>
        <v>820847.47726568836</v>
      </c>
      <c r="ACK28" s="613">
        <f t="shared" ref="ACK28" si="405">ACI$28*$C$28</f>
        <v>829055.95203834528</v>
      </c>
      <c r="ACM28" s="613">
        <f t="shared" ref="ACM28" si="406">ACK$28*$C$28</f>
        <v>837346.51155872876</v>
      </c>
      <c r="ACO28" s="613">
        <f t="shared" ref="ACO28" si="407">ACM$28*$C$28</f>
        <v>845719.9766743161</v>
      </c>
      <c r="ACQ28" s="613">
        <f t="shared" ref="ACQ28" si="408">ACO$28*$C$28</f>
        <v>854177.17644105921</v>
      </c>
      <c r="ACS28" s="613">
        <f t="shared" ref="ACS28" si="409">ACQ$28*$C$28</f>
        <v>862718.94820546976</v>
      </c>
      <c r="ACU28" s="613">
        <f t="shared" ref="ACU28" si="410">ACS$28*$C$28</f>
        <v>871346.13768752443</v>
      </c>
      <c r="ACW28" s="613">
        <f t="shared" ref="ACW28" si="411">ACU$28*$C$28</f>
        <v>880059.59906439972</v>
      </c>
      <c r="ACY28" s="613">
        <f t="shared" ref="ACY28" si="412">ACW$28*$C$28</f>
        <v>888860.19505504367</v>
      </c>
      <c r="ADA28" s="613">
        <f t="shared" ref="ADA28" si="413">ACY$28*$C$28</f>
        <v>897748.79700559413</v>
      </c>
      <c r="ADC28" s="613">
        <f t="shared" ref="ADC28" si="414">ADA$28*$C$28</f>
        <v>906726.28497565002</v>
      </c>
      <c r="ADE28" s="613">
        <f t="shared" ref="ADE28" si="415">ADC$28*$C$28</f>
        <v>915793.54782540654</v>
      </c>
      <c r="ADG28" s="613">
        <f t="shared" ref="ADG28" si="416">ADE$28*$C$28</f>
        <v>924951.48330366064</v>
      </c>
      <c r="ADI28" s="613">
        <f t="shared" ref="ADI28" si="417">ADG$28*$C$28</f>
        <v>934200.99813669722</v>
      </c>
      <c r="ADK28" s="613">
        <f t="shared" ref="ADK28" si="418">ADI$28*$C$28</f>
        <v>943543.00811806426</v>
      </c>
      <c r="ADM28" s="613">
        <f t="shared" ref="ADM28" si="419">ADK$28*$C$28</f>
        <v>952978.43819924491</v>
      </c>
      <c r="ADO28" s="613">
        <f t="shared" ref="ADO28" si="420">ADM$28*$C$28</f>
        <v>962508.22258123732</v>
      </c>
      <c r="ADQ28" s="613">
        <f t="shared" ref="ADQ28" si="421">ADO$28*$C$28</f>
        <v>972133.30480704969</v>
      </c>
      <c r="ADS28" s="613">
        <f t="shared" ref="ADS28" si="422">ADQ$28*$C$28</f>
        <v>981854.63785512024</v>
      </c>
      <c r="ADU28" s="613">
        <f t="shared" ref="ADU28" si="423">ADS$28*$C$28</f>
        <v>991673.1842336714</v>
      </c>
      <c r="ADW28" s="613">
        <f t="shared" ref="ADW28" si="424">ADU$28*$C$28</f>
        <v>1001589.9160760081</v>
      </c>
      <c r="ADY28" s="613">
        <f t="shared" ref="ADY28" si="425">ADW$28*$C$28</f>
        <v>1011605.8152367682</v>
      </c>
      <c r="AEA28" s="613">
        <f t="shared" ref="AEA28" si="426">ADY$28*$C$28</f>
        <v>1021721.8733891359</v>
      </c>
      <c r="AEC28" s="613">
        <f t="shared" ref="AEC28" si="427">AEA$28*$C$28</f>
        <v>1031939.0921230273</v>
      </c>
      <c r="AEE28" s="613">
        <f t="shared" ref="AEE28" si="428">AEC$28*$C$28</f>
        <v>1042258.4830442576</v>
      </c>
      <c r="AEG28" s="613">
        <f t="shared" ref="AEG28" si="429">AEE$28*$C$28</f>
        <v>1052681.0678747003</v>
      </c>
      <c r="AEI28" s="613">
        <f t="shared" ref="AEI28" si="430">AEG$28*$C$28</f>
        <v>1063207.8785534473</v>
      </c>
      <c r="AEK28" s="613">
        <f t="shared" ref="AEK28" si="431">AEI$28*$C$28</f>
        <v>1073839.9573389818</v>
      </c>
      <c r="AEM28" s="613">
        <f t="shared" ref="AEM28" si="432">AEK$28*$C$28</f>
        <v>1084578.3569123717</v>
      </c>
      <c r="AEO28" s="613">
        <f t="shared" ref="AEO28" si="433">AEM$28*$C$28</f>
        <v>1095424.1404814955</v>
      </c>
      <c r="AEQ28" s="613">
        <f t="shared" ref="AEQ28" si="434">AEO$28*$C$28</f>
        <v>1106378.3818863104</v>
      </c>
      <c r="AES28" s="613">
        <f t="shared" ref="AES28" si="435">AEQ$28*$C$28</f>
        <v>1117442.1657051735</v>
      </c>
      <c r="AEU28" s="613">
        <f t="shared" ref="AEU28" si="436">AES$28*$C$28</f>
        <v>1128616.5873622252</v>
      </c>
      <c r="AEW28" s="613">
        <f t="shared" ref="AEW28" si="437">AEU$28*$C$28</f>
        <v>1139902.7532358475</v>
      </c>
      <c r="AEY28" s="613">
        <f t="shared" ref="AEY28" si="438">AEW$28*$C$28</f>
        <v>1151301.7807682059</v>
      </c>
      <c r="AFA28" s="613">
        <f t="shared" ref="AFA28" si="439">AEY$28*$C$28</f>
        <v>1162814.7985758879</v>
      </c>
      <c r="AFC28" s="613">
        <f t="shared" ref="AFC28" si="440">AFA$28*$C$28</f>
        <v>1174442.9465616469</v>
      </c>
      <c r="AFE28" s="613">
        <f t="shared" ref="AFE28" si="441">AFC$28*$C$28</f>
        <v>1186187.3760272635</v>
      </c>
      <c r="AFG28" s="613">
        <f t="shared" ref="AFG28" si="442">AFE$28*$C$28</f>
        <v>1198049.2497875362</v>
      </c>
      <c r="AFI28" s="613">
        <f t="shared" ref="AFI28" si="443">AFG$28*$C$28</f>
        <v>1210029.7422854116</v>
      </c>
      <c r="AFK28" s="613">
        <f t="shared" ref="AFK28" si="444">AFI$28*$C$28</f>
        <v>1222130.0397082658</v>
      </c>
      <c r="AFM28" s="613">
        <f t="shared" ref="AFM28" si="445">AFK$28*$C$28</f>
        <v>1234351.3401053485</v>
      </c>
      <c r="AFO28" s="613">
        <f t="shared" ref="AFO28" si="446">AFM$28*$C$28</f>
        <v>1246694.8535064019</v>
      </c>
      <c r="AFQ28" s="613">
        <f t="shared" ref="AFQ28" si="447">AFO$28*$C$28</f>
        <v>1259161.8020414659</v>
      </c>
      <c r="AFS28" s="613">
        <f t="shared" ref="AFS28" si="448">AFQ$28*$C$28</f>
        <v>1271753.4200618805</v>
      </c>
      <c r="AFU28" s="613">
        <f t="shared" ref="AFU28" si="449">AFS$28*$C$28</f>
        <v>1284470.9542624992</v>
      </c>
      <c r="AFW28" s="613">
        <f t="shared" ref="AFW28" si="450">AFU$28*$C$28</f>
        <v>1297315.6638051243</v>
      </c>
      <c r="AFY28" s="613">
        <f t="shared" ref="AFY28" si="451">AFW$28*$C$28</f>
        <v>1310288.8204431755</v>
      </c>
      <c r="AGA28" s="613">
        <f t="shared" ref="AGA28" si="452">AFY$28*$C$28</f>
        <v>1323391.7086476074</v>
      </c>
      <c r="AGC28" s="613">
        <f t="shared" ref="AGC28" si="453">AGA$28*$C$28</f>
        <v>1336625.6257340834</v>
      </c>
      <c r="AGE28" s="613">
        <f t="shared" ref="AGE28" si="454">AGC$28*$C$28</f>
        <v>1349991.8819914241</v>
      </c>
      <c r="AGG28" s="613">
        <f t="shared" ref="AGG28" si="455">AGE$28*$C$28</f>
        <v>1363491.8008113385</v>
      </c>
      <c r="AGI28" s="613">
        <f t="shared" ref="AGI28" si="456">AGG$28*$C$28</f>
        <v>1377126.718819452</v>
      </c>
      <c r="AGK28" s="613">
        <f t="shared" ref="AGK28" si="457">AGI$28*$C$28</f>
        <v>1390897.9860076464</v>
      </c>
      <c r="AGM28" s="613">
        <f t="shared" ref="AGM28" si="458">AGK$28*$C$28</f>
        <v>1404806.9658677229</v>
      </c>
      <c r="AGO28" s="613">
        <f t="shared" ref="AGO28" si="459">AGM$28*$C$28</f>
        <v>1418855.0355264002</v>
      </c>
      <c r="AGQ28" s="613">
        <f t="shared" ref="AGQ28" si="460">AGO$28*$C$28</f>
        <v>1433043.5858816642</v>
      </c>
      <c r="AGS28" s="613">
        <f t="shared" ref="AGS28" si="461">AGQ$28*$C$28</f>
        <v>1447374.0217404808</v>
      </c>
      <c r="AGU28" s="613">
        <f t="shared" ref="AGU28" si="462">AGS$28*$C$28</f>
        <v>1461847.7619578857</v>
      </c>
      <c r="AGW28" s="613">
        <f t="shared" ref="AGW28" si="463">AGU$28*$C$28</f>
        <v>1476466.2395774645</v>
      </c>
      <c r="AGY28" s="613">
        <f t="shared" ref="AGY28" si="464">AGW$28*$C$28</f>
        <v>1491230.9019732391</v>
      </c>
      <c r="AHA28" s="613">
        <f t="shared" ref="AHA28" si="465">AGY$28*$C$28</f>
        <v>1506143.2109929714</v>
      </c>
      <c r="AHC28" s="613">
        <f t="shared" ref="AHC28" si="466">AHA$28*$C$28</f>
        <v>1521204.6431029011</v>
      </c>
      <c r="AHE28" s="613">
        <f t="shared" ref="AHE28" si="467">AHC$28*$C$28</f>
        <v>1536416.68953393</v>
      </c>
      <c r="AHG28" s="613">
        <f t="shared" ref="AHG28" si="468">AHE$28*$C$28</f>
        <v>1551780.8564292693</v>
      </c>
      <c r="AHI28" s="613">
        <f t="shared" ref="AHI28" si="469">AHG$28*$C$28</f>
        <v>1567298.664993562</v>
      </c>
      <c r="AHK28" s="613">
        <f t="shared" ref="AHK28" si="470">AHI$28*$C$28</f>
        <v>1582971.6516434976</v>
      </c>
      <c r="AHM28" s="613">
        <f t="shared" ref="AHM28" si="471">AHK$28*$C$28</f>
        <v>1598801.3681599326</v>
      </c>
      <c r="AHO28" s="613">
        <f t="shared" ref="AHO28" si="472">AHM$28*$C$28</f>
        <v>1614789.381841532</v>
      </c>
      <c r="AHQ28" s="613">
        <f t="shared" ref="AHQ28" si="473">AHO$28*$C$28</f>
        <v>1630937.2756599472</v>
      </c>
      <c r="AHS28" s="613">
        <f t="shared" ref="AHS28" si="474">AHQ$28*$C$28</f>
        <v>1647246.6484165466</v>
      </c>
      <c r="AHU28" s="613">
        <f t="shared" ref="AHU28" si="475">AHS$28*$C$28</f>
        <v>1663719.1149007122</v>
      </c>
      <c r="AHW28" s="613">
        <f t="shared" ref="AHW28" si="476">AHU$28*$C$28</f>
        <v>1680356.3060497192</v>
      </c>
      <c r="AHY28" s="613">
        <f t="shared" ref="AHY28" si="477">AHW$28*$C$28</f>
        <v>1697159.8691102164</v>
      </c>
      <c r="AIA28" s="613">
        <f t="shared" ref="AIA28" si="478">AHY$28*$C$28</f>
        <v>1714131.4678013185</v>
      </c>
      <c r="AIC28" s="613">
        <f t="shared" ref="AIC28" si="479">AIA$28*$C$28</f>
        <v>1731272.7824793316</v>
      </c>
      <c r="AIE28" s="613">
        <f t="shared" ref="AIE28" si="480">AIC$28*$C$28</f>
        <v>1748585.510304125</v>
      </c>
      <c r="AIG28" s="613">
        <f t="shared" ref="AIG28" si="481">AIE$28*$C$28</f>
        <v>1766071.3654071663</v>
      </c>
      <c r="AII28" s="613">
        <f t="shared" ref="AII28" si="482">AIG$28*$C$28</f>
        <v>1783732.0790612381</v>
      </c>
      <c r="AIK28" s="613">
        <f t="shared" ref="AIK28" si="483">AII$28*$C$28</f>
        <v>1801569.3998518505</v>
      </c>
      <c r="AIM28" s="613">
        <f t="shared" ref="AIM28" si="484">AIK$28*$C$28</f>
        <v>1819585.0938503691</v>
      </c>
      <c r="AIO28" s="613">
        <f t="shared" ref="AIO28" si="485">AIM$28*$C$28</f>
        <v>1837780.9447888727</v>
      </c>
      <c r="AIQ28" s="613">
        <f t="shared" ref="AIQ28" si="486">AIO$28*$C$28</f>
        <v>1856158.7542367615</v>
      </c>
      <c r="AIS28" s="613">
        <f t="shared" ref="AIS28" si="487">AIQ$28*$C$28</f>
        <v>1874720.3417791291</v>
      </c>
      <c r="AIU28" s="613">
        <f t="shared" ref="AIU28" si="488">AIS$28*$C$28</f>
        <v>1893467.5451969204</v>
      </c>
      <c r="AIW28" s="613">
        <f t="shared" ref="AIW28" si="489">AIU$28*$C$28</f>
        <v>1912402.2206488897</v>
      </c>
      <c r="AIY28" s="613">
        <f t="shared" ref="AIY28" si="490">AIW$28*$C$28</f>
        <v>1931526.2428553787</v>
      </c>
      <c r="AJA28" s="613">
        <f t="shared" ref="AJA28" si="491">AIY$28*$C$28</f>
        <v>1950841.5052839324</v>
      </c>
      <c r="AJC28" s="613">
        <f t="shared" ref="AJC28" si="492">AJA$28*$C$28</f>
        <v>1970349.9203367718</v>
      </c>
      <c r="AJE28" s="613">
        <f t="shared" ref="AJE28" si="493">AJC$28*$C$28</f>
        <v>1990053.4195401394</v>
      </c>
      <c r="AJG28" s="613">
        <f t="shared" ref="AJG28" si="494">AJE$28*$C$28</f>
        <v>2009953.9537355409</v>
      </c>
      <c r="AJI28" s="613">
        <f t="shared" ref="AJI28" si="495">AJG$28*$C$28</f>
        <v>2030053.4932728964</v>
      </c>
      <c r="AJK28" s="613">
        <f t="shared" ref="AJK28" si="496">AJI$28*$C$28</f>
        <v>2050354.0282056255</v>
      </c>
      <c r="AJM28" s="613">
        <f t="shared" ref="AJM28" si="497">AJK$28*$C$28</f>
        <v>2070857.5684876817</v>
      </c>
      <c r="AJO28" s="613">
        <f t="shared" ref="AJO28" si="498">AJM$28*$C$28</f>
        <v>2091566.1441725586</v>
      </c>
      <c r="AJQ28" s="613">
        <f t="shared" ref="AJQ28" si="499">AJO$28*$C$28</f>
        <v>2112481.8056142842</v>
      </c>
      <c r="AJS28" s="613">
        <f t="shared" ref="AJS28" si="500">AJQ$28*$C$28</f>
        <v>2133606.6236704271</v>
      </c>
      <c r="AJU28" s="613">
        <f t="shared" ref="AJU28" si="501">AJS$28*$C$28</f>
        <v>2154942.6899071313</v>
      </c>
      <c r="AJW28" s="613">
        <f t="shared" ref="AJW28" si="502">AJU$28*$C$28</f>
        <v>2176492.1168062026</v>
      </c>
      <c r="AJY28" s="613">
        <f t="shared" ref="AJY28" si="503">AJW$28*$C$28</f>
        <v>2198257.0379742645</v>
      </c>
      <c r="AKA28" s="613">
        <f t="shared" ref="AKA28" si="504">AJY$28*$C$28</f>
        <v>2220239.6083540074</v>
      </c>
      <c r="AKC28" s="613">
        <f t="shared" ref="AKC28" si="505">AKA$28*$C$28</f>
        <v>2242442.0044375476</v>
      </c>
      <c r="AKE28" s="613">
        <f t="shared" ref="AKE28" si="506">AKC$28*$C$28</f>
        <v>2264866.4244819232</v>
      </c>
      <c r="AKG28" s="613">
        <f t="shared" ref="AKG28" si="507">AKE$28*$C$28</f>
        <v>2287515.0887267427</v>
      </c>
      <c r="AKI28" s="613">
        <f t="shared" ref="AKI28" si="508">AKG$28*$C$28</f>
        <v>2310390.2396140103</v>
      </c>
      <c r="AKK28" s="613">
        <f t="shared" ref="AKK28" si="509">AKI$28*$C$28</f>
        <v>2333494.1420101505</v>
      </c>
      <c r="AKM28" s="613">
        <f t="shared" ref="AKM28" si="510">AKK$28*$C$28</f>
        <v>2356829.083430252</v>
      </c>
      <c r="AKO28" s="613">
        <f t="shared" ref="AKO28" si="511">AKM$28*$C$28</f>
        <v>2380397.3742645546</v>
      </c>
      <c r="AKQ28" s="613">
        <f t="shared" ref="AKQ28" si="512">AKO$28*$C$28</f>
        <v>2404201.3480072003</v>
      </c>
      <c r="AKS28" s="613">
        <f t="shared" ref="AKS28" si="513">AKQ$28*$C$28</f>
        <v>2428243.3614872722</v>
      </c>
      <c r="AKU28" s="613">
        <f t="shared" ref="AKU28" si="514">AKS$28*$C$28</f>
        <v>2452525.7951021451</v>
      </c>
      <c r="AKW28" s="613">
        <f t="shared" ref="AKW28" si="515">AKU$28*$C$28</f>
        <v>2477051.0530531667</v>
      </c>
      <c r="AKY28" s="613">
        <f t="shared" ref="AKY28" si="516">AKW$28*$C$28</f>
        <v>2501821.5635836986</v>
      </c>
      <c r="ALA28" s="613">
        <f t="shared" ref="ALA28" si="517">AKY$28*$C$28</f>
        <v>2526839.7792195356</v>
      </c>
      <c r="ALC28" s="613">
        <f t="shared" ref="ALC28" si="518">ALA$28*$C$28</f>
        <v>2552108.1770117311</v>
      </c>
      <c r="ALE28" s="613">
        <f t="shared" ref="ALE28" si="519">ALC$28*$C$28</f>
        <v>2577629.2587818485</v>
      </c>
      <c r="ALG28" s="613">
        <f t="shared" ref="ALG28" si="520">ALE$28*$C$28</f>
        <v>2603405.5513696671</v>
      </c>
      <c r="ALI28" s="613">
        <f t="shared" ref="ALI28" si="521">ALG$28*$C$28</f>
        <v>2629439.6068833638</v>
      </c>
      <c r="ALK28" s="613">
        <f t="shared" ref="ALK28" si="522">ALI$28*$C$28</f>
        <v>2655734.0029521976</v>
      </c>
      <c r="ALM28" s="613">
        <f t="shared" ref="ALM28" si="523">ALK$28*$C$28</f>
        <v>2682291.3429817194</v>
      </c>
      <c r="ALO28" s="613">
        <f t="shared" ref="ALO28" si="524">ALM$28*$C$28</f>
        <v>2709114.2564115366</v>
      </c>
      <c r="ALQ28" s="613">
        <f t="shared" ref="ALQ28" si="525">ALO$28*$C$28</f>
        <v>2736205.3989756522</v>
      </c>
      <c r="ALS28" s="613">
        <f t="shared" ref="ALS28" si="526">ALQ$28*$C$28</f>
        <v>2763567.4529654086</v>
      </c>
      <c r="ALU28" s="613">
        <f t="shared" ref="ALU28" si="527">ALS$28*$C$28</f>
        <v>2791203.1274950625</v>
      </c>
      <c r="ALW28" s="613">
        <f t="shared" ref="ALW28" si="528">ALU$28*$C$28</f>
        <v>2819115.1587700131</v>
      </c>
      <c r="ALY28" s="613">
        <f t="shared" ref="ALY28" si="529">ALW$28*$C$28</f>
        <v>2847306.3103577131</v>
      </c>
      <c r="AMA28" s="613">
        <f t="shared" ref="AMA28" si="530">ALY$28*$C$28</f>
        <v>2875779.3734612903</v>
      </c>
      <c r="AMC28" s="613">
        <f t="shared" ref="AMC28" si="531">AMA$28*$C$28</f>
        <v>2904537.1671959031</v>
      </c>
      <c r="AME28" s="613">
        <f t="shared" ref="AME28" si="532">AMC$28*$C$28</f>
        <v>2933582.538867862</v>
      </c>
      <c r="AMG28" s="613">
        <f t="shared" ref="AMG28" si="533">AME$28*$C$28</f>
        <v>2962918.3642565408</v>
      </c>
      <c r="AMI28" s="613">
        <f t="shared" ref="AMI28" si="534">AMG$28*$C$28</f>
        <v>2992547.5478991061</v>
      </c>
      <c r="AMK28" s="613">
        <f t="shared" ref="AMK28" si="535">AMI$28*$C$28</f>
        <v>3022473.023378097</v>
      </c>
      <c r="AMM28" s="613">
        <f t="shared" ref="AMM28" si="536">AMK$28*$C$28</f>
        <v>3052697.753611878</v>
      </c>
      <c r="AMO28" s="613">
        <f t="shared" ref="AMO28" si="537">AMM$28*$C$28</f>
        <v>3083224.7311479966</v>
      </c>
      <c r="AMQ28" s="613">
        <f t="shared" ref="AMQ28" si="538">AMO$28*$C$28</f>
        <v>3114056.9784594765</v>
      </c>
      <c r="AMS28" s="613">
        <f t="shared" ref="AMS28" si="539">AMQ$28*$C$28</f>
        <v>3145197.5482440712</v>
      </c>
      <c r="AMU28" s="613">
        <f t="shared" ref="AMU28" si="540">AMS$28*$C$28</f>
        <v>3176649.5237265117</v>
      </c>
      <c r="AMW28" s="613">
        <f t="shared" ref="AMW28" si="541">AMU$28*$C$28</f>
        <v>3208416.018963777</v>
      </c>
      <c r="AMY28" s="613">
        <f t="shared" ref="AMY28" si="542">AMW$28*$C$28</f>
        <v>3240500.1791534149</v>
      </c>
      <c r="ANA28" s="613">
        <f t="shared" ref="ANA28" si="543">AMY$28*$C$28</f>
        <v>3272905.1809449489</v>
      </c>
      <c r="ANC28" s="613">
        <f t="shared" ref="ANC28" si="544">ANA$28*$C$28</f>
        <v>3305634.2327543986</v>
      </c>
      <c r="ANE28" s="613">
        <f t="shared" ref="ANE28" si="545">ANC$28*$C$28</f>
        <v>3338690.5750819426</v>
      </c>
      <c r="ANG28" s="613">
        <f t="shared" ref="ANG28" si="546">ANE$28*$C$28</f>
        <v>3372077.4808327621</v>
      </c>
      <c r="ANI28" s="613">
        <f t="shared" ref="ANI28" si="547">ANG$28*$C$28</f>
        <v>3405798.2556410898</v>
      </c>
      <c r="ANK28" s="613">
        <f t="shared" ref="ANK28" si="548">ANI$28*$C$28</f>
        <v>3439856.2381975008</v>
      </c>
      <c r="ANM28" s="613">
        <f t="shared" ref="ANM28" si="549">ANK$28*$C$28</f>
        <v>3474254.8005794757</v>
      </c>
      <c r="ANO28" s="613">
        <f t="shared" ref="ANO28" si="550">ANM$28*$C$28</f>
        <v>3508997.3485852703</v>
      </c>
      <c r="ANQ28" s="613">
        <f t="shared" ref="ANQ28" si="551">ANO$28*$C$28</f>
        <v>3544087.3220711229</v>
      </c>
      <c r="ANS28" s="613">
        <f t="shared" ref="ANS28" si="552">ANQ$28*$C$28</f>
        <v>3579528.1952918344</v>
      </c>
      <c r="ANU28" s="613">
        <f t="shared" ref="ANU28" si="553">ANS$28*$C$28</f>
        <v>3615323.4772447529</v>
      </c>
      <c r="ANW28" s="613">
        <f t="shared" ref="ANW28" si="554">ANU$28*$C$28</f>
        <v>3651476.7120172004</v>
      </c>
      <c r="ANY28" s="613">
        <f t="shared" ref="ANY28" si="555">ANW$28*$C$28</f>
        <v>3687991.4791373722</v>
      </c>
      <c r="AOA28" s="613">
        <f t="shared" ref="AOA28" si="556">ANY$28*$C$28</f>
        <v>3724871.3939287458</v>
      </c>
      <c r="AOC28" s="613">
        <f t="shared" ref="AOC28" si="557">AOA$28*$C$28</f>
        <v>3762120.1078680335</v>
      </c>
      <c r="AOE28" s="613">
        <f t="shared" ref="AOE28" si="558">AOC$28*$C$28</f>
        <v>3799741.3089467138</v>
      </c>
      <c r="AOG28" s="613">
        <f t="shared" ref="AOG28" si="559">AOE$28*$C$28</f>
        <v>3837738.722036181</v>
      </c>
      <c r="AOI28" s="613">
        <f t="shared" ref="AOI28" si="560">AOG$28*$C$28</f>
        <v>3876116.1092565428</v>
      </c>
      <c r="AOK28" s="613">
        <f t="shared" ref="AOK28" si="561">AOI$28*$C$28</f>
        <v>3914877.2703491081</v>
      </c>
      <c r="AOM28" s="613">
        <f t="shared" ref="AOM28" si="562">AOK$28*$C$28</f>
        <v>3954026.0430525993</v>
      </c>
      <c r="AOO28" s="613">
        <f t="shared" ref="AOO28" si="563">AOM$28*$C$28</f>
        <v>3993566.3034831253</v>
      </c>
      <c r="AOQ28" s="613">
        <f t="shared" ref="AOQ28" si="564">AOO$28*$C$28</f>
        <v>4033501.9665179565</v>
      </c>
      <c r="AOS28" s="613">
        <f t="shared" ref="AOS28" si="565">AOQ$28*$C$28</f>
        <v>4073836.9861831362</v>
      </c>
      <c r="AOU28" s="613">
        <f t="shared" ref="AOU28" si="566">AOS$28*$C$28</f>
        <v>4114575.3560449677</v>
      </c>
      <c r="AOW28" s="613">
        <f t="shared" ref="AOW28" si="567">AOU$28*$C$28</f>
        <v>4155721.1096054176</v>
      </c>
      <c r="AOY28" s="613">
        <f t="shared" ref="AOY28" si="568">AOW$28*$C$28</f>
        <v>4197278.3207014715</v>
      </c>
      <c r="APA28" s="613">
        <f t="shared" ref="APA28" si="569">AOY$28*$C$28</f>
        <v>4239251.1039084867</v>
      </c>
      <c r="APC28" s="613">
        <f t="shared" ref="APC28" si="570">APA$28*$C$28</f>
        <v>4281643.6149475714</v>
      </c>
      <c r="APE28" s="613">
        <f t="shared" ref="APE28" si="571">APC$28*$C$28</f>
        <v>4324460.0510970475</v>
      </c>
      <c r="APG28" s="613">
        <f t="shared" ref="APG28" si="572">APE$28*$C$28</f>
        <v>4367704.6516080182</v>
      </c>
      <c r="API28" s="613">
        <f t="shared" ref="API28" si="573">APG$28*$C$28</f>
        <v>4411381.6981240986</v>
      </c>
      <c r="APK28" s="613">
        <f t="shared" ref="APK28" si="574">API$28*$C$28</f>
        <v>4455495.5151053397</v>
      </c>
      <c r="APM28" s="613">
        <f t="shared" ref="APM28" si="575">APK$28*$C$28</f>
        <v>4500050.4702563928</v>
      </c>
      <c r="APO28" s="613">
        <f t="shared" ref="APO28" si="576">APM$28*$C$28</f>
        <v>4545050.9749589572</v>
      </c>
      <c r="APQ28" s="613">
        <f t="shared" ref="APQ28" si="577">APO$28*$C$28</f>
        <v>4590501.4847085467</v>
      </c>
      <c r="APS28" s="613">
        <f t="shared" ref="APS28" si="578">APQ$28*$C$28</f>
        <v>4636406.4995556325</v>
      </c>
      <c r="APU28" s="613">
        <f t="shared" ref="APU28" si="579">APS$28*$C$28</f>
        <v>4682770.5645511886</v>
      </c>
      <c r="APW28" s="613">
        <f t="shared" ref="APW28" si="580">APU$28*$C$28</f>
        <v>4729598.2701967005</v>
      </c>
      <c r="APY28" s="613">
        <f t="shared" ref="APY28" si="581">APW$28*$C$28</f>
        <v>4776894.2528986679</v>
      </c>
      <c r="AQA28" s="613">
        <f t="shared" ref="AQA28" si="582">APY$28*$C$28</f>
        <v>4824663.1954276543</v>
      </c>
      <c r="AQC28" s="613">
        <f t="shared" ref="AQC28" si="583">AQA$28*$C$28</f>
        <v>4872909.8273819312</v>
      </c>
      <c r="AQE28" s="613">
        <f t="shared" ref="AQE28" si="584">AQC$28*$C$28</f>
        <v>4921638.9256557506</v>
      </c>
      <c r="AQG28" s="613">
        <f t="shared" ref="AQG28" si="585">AQE$28*$C$28</f>
        <v>4970855.314912308</v>
      </c>
      <c r="AQI28" s="613">
        <f t="shared" ref="AQI28" si="586">AQG$28*$C$28</f>
        <v>5020563.8680614308</v>
      </c>
      <c r="AQK28" s="613">
        <f t="shared" ref="AQK28" si="587">AQI$28*$C$28</f>
        <v>5070769.5067420453</v>
      </c>
      <c r="AQM28" s="613">
        <f t="shared" ref="AQM28" si="588">AQK$28*$C$28</f>
        <v>5121477.2018094659</v>
      </c>
      <c r="AQO28" s="613">
        <f t="shared" ref="AQO28" si="589">AQM$28*$C$28</f>
        <v>5172691.9738275604</v>
      </c>
      <c r="AQQ28" s="613">
        <f t="shared" ref="AQQ28" si="590">AQO$28*$C$28</f>
        <v>5224418.8935658364</v>
      </c>
      <c r="AQS28" s="613">
        <f t="shared" ref="AQS28" si="591">AQQ$28*$C$28</f>
        <v>5276663.0825014943</v>
      </c>
      <c r="AQU28" s="613">
        <f t="shared" ref="AQU28" si="592">AQS$28*$C$28</f>
        <v>5329429.7133265091</v>
      </c>
      <c r="AQW28" s="613">
        <f t="shared" ref="AQW28" si="593">AQU$28*$C$28</f>
        <v>5382724.0104597742</v>
      </c>
      <c r="AQY28" s="613">
        <f t="shared" ref="AQY28" si="594">AQW$28*$C$28</f>
        <v>5436551.2505643722</v>
      </c>
      <c r="ARA28" s="613">
        <f t="shared" ref="ARA28" si="595">AQY$28*$C$28</f>
        <v>5490916.7630700162</v>
      </c>
      <c r="ARC28" s="613">
        <f t="shared" ref="ARC28" si="596">ARA$28*$C$28</f>
        <v>5545825.9307007166</v>
      </c>
      <c r="ARE28" s="613">
        <f t="shared" ref="ARE28" si="597">ARC$28*$C$28</f>
        <v>5601284.1900077239</v>
      </c>
      <c r="ARG28" s="613">
        <f t="shared" ref="ARG28" si="598">ARE$28*$C$28</f>
        <v>5657297.0319078015</v>
      </c>
      <c r="ARI28" s="613">
        <f t="shared" ref="ARI28" si="599">ARG$28*$C$28</f>
        <v>5713870.0022268798</v>
      </c>
      <c r="ARK28" s="613">
        <f t="shared" ref="ARK28" si="600">ARI$28*$C$28</f>
        <v>5771008.7022491489</v>
      </c>
      <c r="ARM28" s="613">
        <f t="shared" ref="ARM28" si="601">ARK$28*$C$28</f>
        <v>5828718.7892716406</v>
      </c>
      <c r="ARO28" s="613">
        <f t="shared" ref="ARO28" si="602">ARM$28*$C$28</f>
        <v>5887005.977164357</v>
      </c>
      <c r="ARQ28" s="613">
        <f t="shared" ref="ARQ28" si="603">ARO$28*$C$28</f>
        <v>5945876.0369360009</v>
      </c>
      <c r="ARS28" s="613">
        <f t="shared" ref="ARS28" si="604">ARQ$28*$C$28</f>
        <v>6005334.7973053614</v>
      </c>
      <c r="ARU28" s="613">
        <f t="shared" ref="ARU28" si="605">ARS$28*$C$28</f>
        <v>6065388.1452784147</v>
      </c>
      <c r="ARW28" s="613">
        <f t="shared" ref="ARW28" si="606">ARU$28*$C$28</f>
        <v>6126042.0267311987</v>
      </c>
      <c r="ARY28" s="613">
        <f t="shared" ref="ARY28" si="607">ARW$28*$C$28</f>
        <v>6187302.4469985105</v>
      </c>
      <c r="ASA28" s="613">
        <f t="shared" ref="ASA28" si="608">ARY$28*$C$28</f>
        <v>6249175.4714684952</v>
      </c>
      <c r="ASC28" s="613">
        <f t="shared" ref="ASC28" si="609">ASA$28*$C$28</f>
        <v>6311667.2261831798</v>
      </c>
      <c r="ASE28" s="613">
        <f t="shared" ref="ASE28" si="610">ASC$28*$C$28</f>
        <v>6374783.898445012</v>
      </c>
      <c r="ASG28" s="613">
        <f t="shared" ref="ASG28" si="611">ASE$28*$C$28</f>
        <v>6438531.7374294624</v>
      </c>
      <c r="ASI28" s="613">
        <f t="shared" ref="ASI28" si="612">ASG$28*$C$28</f>
        <v>6502917.054803757</v>
      </c>
      <c r="ASK28" s="613">
        <f t="shared" ref="ASK28" si="613">ASI$28*$C$28</f>
        <v>6567946.2253517946</v>
      </c>
      <c r="ASM28" s="613">
        <f t="shared" ref="ASM28" si="614">ASK$28*$C$28</f>
        <v>6633625.687605313</v>
      </c>
      <c r="ASO28" s="613">
        <f t="shared" ref="ASO28" si="615">ASM$28*$C$28</f>
        <v>6699961.9444813663</v>
      </c>
      <c r="ASQ28" s="613">
        <f t="shared" ref="ASQ28" si="616">ASO$28*$C$28</f>
        <v>6766961.5639261799</v>
      </c>
      <c r="ASS28" s="613">
        <f t="shared" ref="ASS28" si="617">ASQ$28*$C$28</f>
        <v>6834631.1795654418</v>
      </c>
      <c r="ASU28" s="613">
        <f t="shared" ref="ASU28" si="618">ASS$28*$C$28</f>
        <v>6902977.4913610965</v>
      </c>
      <c r="ASW28" s="613">
        <f t="shared" ref="ASW28" si="619">ASU$28*$C$28</f>
        <v>6972007.2662747074</v>
      </c>
      <c r="ASY28" s="613">
        <f t="shared" ref="ASY28" si="620">ASW$28*$C$28</f>
        <v>7041727.3389374549</v>
      </c>
      <c r="ATA28" s="613">
        <f t="shared" ref="ATA28" si="621">ASY$28*$C$28</f>
        <v>7112144.6123268297</v>
      </c>
      <c r="ATC28" s="613">
        <f t="shared" ref="ATC28" si="622">ATA$28*$C$28</f>
        <v>7183266.0584500981</v>
      </c>
      <c r="ATE28" s="613">
        <f t="shared" ref="ATE28" si="623">ATC$28*$C$28</f>
        <v>7255098.7190345991</v>
      </c>
      <c r="ATG28" s="613">
        <f t="shared" ref="ATG28" si="624">ATE$28*$C$28</f>
        <v>7327649.7062249454</v>
      </c>
      <c r="ATI28" s="613">
        <f t="shared" ref="ATI28" si="625">ATG$28*$C$28</f>
        <v>7400926.2032871945</v>
      </c>
      <c r="ATK28" s="613">
        <f t="shared" ref="ATK28" si="626">ATI$28*$C$28</f>
        <v>7474935.4653200665</v>
      </c>
      <c r="ATM28" s="613">
        <f t="shared" ref="ATM28" si="627">ATK$28*$C$28</f>
        <v>7549684.8199732676</v>
      </c>
      <c r="ATO28" s="613">
        <f t="shared" ref="ATO28" si="628">ATM$28*$C$28</f>
        <v>7625181.6681730002</v>
      </c>
      <c r="ATQ28" s="613">
        <f t="shared" ref="ATQ28" si="629">ATO$28*$C$28</f>
        <v>7701433.4848547298</v>
      </c>
      <c r="ATS28" s="613">
        <f t="shared" ref="ATS28" si="630">ATQ$28*$C$28</f>
        <v>7778447.8197032772</v>
      </c>
      <c r="ATU28" s="613">
        <f t="shared" ref="ATU28" si="631">ATS$28*$C$28</f>
        <v>7856232.2979003098</v>
      </c>
      <c r="ATW28" s="613">
        <f t="shared" ref="ATW28" si="632">ATU$28*$C$28</f>
        <v>7934794.620879313</v>
      </c>
      <c r="ATY28" s="613">
        <f t="shared" ref="ATY28" si="633">ATW$28*$C$28</f>
        <v>8014142.5670881057</v>
      </c>
      <c r="AUA28" s="613">
        <f t="shared" ref="AUA28" si="634">ATY$28*$C$28</f>
        <v>8094283.9927589865</v>
      </c>
      <c r="AUC28" s="613">
        <f t="shared" ref="AUC28" si="635">AUA$28*$C$28</f>
        <v>8175226.8326865761</v>
      </c>
      <c r="AUE28" s="613">
        <f t="shared" ref="AUE28" si="636">AUC$28*$C$28</f>
        <v>8256979.1010134416</v>
      </c>
      <c r="AUG28" s="613">
        <f t="shared" ref="AUG28" si="637">AUE$28*$C$28</f>
        <v>8339548.8920235764</v>
      </c>
      <c r="AUI28" s="613">
        <f t="shared" ref="AUI28" si="638">AUG$28*$C$28</f>
        <v>8422944.3809438124</v>
      </c>
      <c r="AUK28" s="613">
        <f t="shared" ref="AUK28" si="639">AUI$28*$C$28</f>
        <v>8507173.8247532509</v>
      </c>
      <c r="AUM28" s="613">
        <f t="shared" ref="AUM28" si="640">AUK$28*$C$28</f>
        <v>8592245.5630007833</v>
      </c>
      <c r="AUO28" s="613">
        <f t="shared" ref="AUO28" si="641">AUM$28*$C$28</f>
        <v>8678168.0186307915</v>
      </c>
      <c r="AUQ28" s="613">
        <f t="shared" ref="AUQ28" si="642">AUO$28*$C$28</f>
        <v>8764949.6988171004</v>
      </c>
      <c r="AUS28" s="613">
        <f t="shared" ref="AUS28" si="643">AUQ$28*$C$28</f>
        <v>8852599.1958052721</v>
      </c>
      <c r="AUU28" s="613">
        <f t="shared" ref="AUU28" si="644">AUS$28*$C$28</f>
        <v>8941125.187763324</v>
      </c>
      <c r="AUW28" s="613">
        <f t="shared" ref="AUW28" si="645">AUU$28*$C$28</f>
        <v>9030536.4396409579</v>
      </c>
      <c r="AUY28" s="613">
        <f t="shared" ref="AUY28" si="646">AUW$28*$C$28</f>
        <v>9120841.8040373679</v>
      </c>
      <c r="AVA28" s="613">
        <f t="shared" ref="AVA28" si="647">AUY$28*$C$28</f>
        <v>9212050.2220777422</v>
      </c>
      <c r="AVC28" s="613">
        <f t="shared" ref="AVC28" si="648">AVA$28*$C$28</f>
        <v>9304170.72429852</v>
      </c>
      <c r="AVE28" s="613">
        <f t="shared" ref="AVE28" si="649">AVC$28*$C$28</f>
        <v>9397212.4315415062</v>
      </c>
      <c r="AVG28" s="613">
        <f t="shared" ref="AVG28" si="650">AVE$28*$C$28</f>
        <v>9491184.5558569208</v>
      </c>
      <c r="AVI28" s="613">
        <f t="shared" ref="AVI28" si="651">AVG$28*$C$28</f>
        <v>9586096.4014154896</v>
      </c>
      <c r="AVK28" s="613">
        <f t="shared" ref="AVK28" si="652">AVI$28*$C$28</f>
        <v>9681957.3654296454</v>
      </c>
      <c r="AVM28" s="613">
        <f t="shared" ref="AVM28" si="653">AVK$28*$C$28</f>
        <v>9778776.9390839413</v>
      </c>
      <c r="AVO28" s="613">
        <f t="shared" ref="AVO28" si="654">AVM$28*$C$28</f>
        <v>9876564.7084747814</v>
      </c>
      <c r="AVQ28" s="613">
        <f t="shared" ref="AVQ28" si="655">AVO$28*$C$28</f>
        <v>9975330.3555595297</v>
      </c>
      <c r="AVS28" s="613">
        <f t="shared" ref="AVS28" si="656">AVQ$28*$C$28</f>
        <v>10075083.659115124</v>
      </c>
      <c r="AVU28" s="613">
        <f t="shared" ref="AVU28" si="657">AVS$28*$C$28</f>
        <v>10175834.495706275</v>
      </c>
      <c r="AVW28" s="613">
        <f t="shared" ref="AVW28" si="658">AVU$28*$C$28</f>
        <v>10277592.840663338</v>
      </c>
      <c r="AVY28" s="613">
        <f t="shared" ref="AVY28" si="659">AVW$28*$C$28</f>
        <v>10380368.769069972</v>
      </c>
      <c r="AWA28" s="613">
        <f t="shared" ref="AWA28" si="660">AVY$28*$C$28</f>
        <v>10484172.456760671</v>
      </c>
      <c r="AWC28" s="613">
        <f t="shared" ref="AWC28" si="661">AWA$28*$C$28</f>
        <v>10589014.181328278</v>
      </c>
      <c r="AWE28" s="613">
        <f t="shared" ref="AWE28" si="662">AWC$28*$C$28</f>
        <v>10694904.323141562</v>
      </c>
      <c r="AWG28" s="613">
        <f t="shared" ref="AWG28" si="663">AWE$28*$C$28</f>
        <v>10801853.366372978</v>
      </c>
      <c r="AWI28" s="613">
        <f t="shared" ref="AWI28" si="664">AWG$28*$C$28</f>
        <v>10909871.900036708</v>
      </c>
      <c r="AWK28" s="613">
        <f t="shared" ref="AWK28" si="665">AWI$28*$C$28</f>
        <v>11018970.619037075</v>
      </c>
      <c r="AWM28" s="613">
        <f t="shared" ref="AWM28" si="666">AWK$28*$C$28</f>
        <v>11129160.325227445</v>
      </c>
      <c r="AWO28" s="613">
        <f t="shared" ref="AWO28" si="667">AWM$28*$C$28</f>
        <v>11240451.92847972</v>
      </c>
      <c r="AWQ28" s="613">
        <f t="shared" ref="AWQ28" si="668">AWO$28*$C$28</f>
        <v>11352856.447764518</v>
      </c>
      <c r="AWS28" s="613">
        <f t="shared" ref="AWS28" si="669">AWQ$28*$C$28</f>
        <v>11466385.012242163</v>
      </c>
      <c r="AWU28" s="613">
        <f t="shared" ref="AWU28" si="670">AWS$28*$C$28</f>
        <v>11581048.862364585</v>
      </c>
      <c r="AWW28" s="613">
        <f t="shared" ref="AWW28" si="671">AWU$28*$C$28</f>
        <v>11696859.35098823</v>
      </c>
      <c r="AWY28" s="613">
        <f t="shared" ref="AWY28" si="672">AWW$28*$C$28</f>
        <v>11813827.944498112</v>
      </c>
      <c r="AXA28" s="613">
        <f t="shared" ref="AXA28" si="673">AWY$28*$C$28</f>
        <v>11931966.223943094</v>
      </c>
      <c r="AXC28" s="613">
        <f t="shared" ref="AXC28" si="674">AXA$28*$C$28</f>
        <v>12051285.886182524</v>
      </c>
      <c r="AXE28" s="613">
        <f t="shared" ref="AXE28" si="675">AXC$28*$C$28</f>
        <v>12171798.745044349</v>
      </c>
      <c r="AXG28" s="613">
        <f t="shared" ref="AXG28" si="676">AXE$28*$C$28</f>
        <v>12293516.732494792</v>
      </c>
      <c r="AXI28" s="613">
        <f t="shared" ref="AXI28" si="677">AXG$28*$C$28</f>
        <v>12416451.899819739</v>
      </c>
      <c r="AXK28" s="613">
        <f t="shared" ref="AXK28" si="678">AXI$28*$C$28</f>
        <v>12540616.418817937</v>
      </c>
      <c r="AXM28" s="613">
        <f t="shared" ref="AXM28" si="679">AXK$28*$C$28</f>
        <v>12666022.583006117</v>
      </c>
      <c r="AXO28" s="613">
        <f t="shared" ref="AXO28" si="680">AXM$28*$C$28</f>
        <v>12792682.808836179</v>
      </c>
      <c r="AXQ28" s="613">
        <f t="shared" ref="AXQ28" si="681">AXO$28*$C$28</f>
        <v>12920609.636924541</v>
      </c>
      <c r="AXS28" s="613">
        <f t="shared" ref="AXS28" si="682">AXQ$28*$C$28</f>
        <v>13049815.733293787</v>
      </c>
      <c r="AXU28" s="613">
        <f t="shared" ref="AXU28" si="683">AXS$28*$C$28</f>
        <v>13180313.890626725</v>
      </c>
      <c r="AXW28" s="613">
        <f t="shared" ref="AXW28" si="684">AXU$28*$C$28</f>
        <v>13312117.029532991</v>
      </c>
      <c r="AXY28" s="613">
        <f t="shared" ref="AXY28" si="685">AXW$28*$C$28</f>
        <v>13445238.199828321</v>
      </c>
      <c r="AYA28" s="613">
        <f t="shared" ref="AYA28" si="686">AXY$28*$C$28</f>
        <v>13579690.581826605</v>
      </c>
      <c r="AYC28" s="613">
        <f t="shared" ref="AYC28" si="687">AYA$28*$C$28</f>
        <v>13715487.487644872</v>
      </c>
      <c r="AYE28" s="613">
        <f t="shared" ref="AYE28" si="688">AYC$28*$C$28</f>
        <v>13852642.362521321</v>
      </c>
      <c r="AYG28" s="613">
        <f t="shared" ref="AYG28" si="689">AYE$28*$C$28</f>
        <v>13991168.786146535</v>
      </c>
      <c r="AYI28" s="613">
        <f t="shared" ref="AYI28" si="690">AYG$28*$C$28</f>
        <v>14131080.474008</v>
      </c>
      <c r="AYK28" s="613">
        <f t="shared" ref="AYK28" si="691">AYI$28*$C$28</f>
        <v>14272391.27874808</v>
      </c>
      <c r="AYM28" s="613">
        <f t="shared" ref="AYM28" si="692">AYK$28*$C$28</f>
        <v>14415115.19153556</v>
      </c>
      <c r="AYO28" s="613">
        <f t="shared" ref="AYO28" si="693">AYM$28*$C$28</f>
        <v>14559266.343450917</v>
      </c>
      <c r="AYQ28" s="613">
        <f t="shared" ref="AYQ28" si="694">AYO$28*$C$28</f>
        <v>14704859.006885426</v>
      </c>
      <c r="AYS28" s="613">
        <f t="shared" ref="AYS28" si="695">AYQ$28*$C$28</f>
        <v>14851907.596954281</v>
      </c>
      <c r="AYU28" s="613">
        <f t="shared" ref="AYU28" si="696">AYS$28*$C$28</f>
        <v>15000426.672923824</v>
      </c>
      <c r="AYW28" s="613">
        <f t="shared" ref="AYW28" si="697">AYU$28*$C$28</f>
        <v>15150430.939653061</v>
      </c>
      <c r="AYY28" s="613">
        <f t="shared" ref="AYY28" si="698">AYW$28*$C$28</f>
        <v>15301935.249049593</v>
      </c>
      <c r="AZA28" s="613">
        <f t="shared" ref="AZA28" si="699">AYY$28*$C$28</f>
        <v>15454954.601540089</v>
      </c>
      <c r="AZC28" s="613">
        <f t="shared" ref="AZC28" si="700">AZA$28*$C$28</f>
        <v>15609504.147555489</v>
      </c>
      <c r="AZE28" s="613">
        <f t="shared" ref="AZE28" si="701">AZC$28*$C$28</f>
        <v>15765599.189031044</v>
      </c>
      <c r="AZG28" s="613">
        <f t="shared" ref="AZG28" si="702">AZE$28*$C$28</f>
        <v>15923255.180921355</v>
      </c>
      <c r="AZI28" s="613">
        <f t="shared" ref="AZI28" si="703">AZG$28*$C$28</f>
        <v>16082487.732730569</v>
      </c>
      <c r="AZK28" s="613">
        <f t="shared" ref="AZK28" si="704">AZI$28*$C$28</f>
        <v>16243312.610057876</v>
      </c>
      <c r="AZM28" s="613">
        <f t="shared" ref="AZM28" si="705">AZK$28*$C$28</f>
        <v>16405745.736158455</v>
      </c>
      <c r="AZO28" s="613">
        <f t="shared" ref="AZO28" si="706">AZM$28*$C$28</f>
        <v>16569803.193520039</v>
      </c>
      <c r="AZQ28" s="613">
        <f t="shared" ref="AZQ28" si="707">AZO$28*$C$28</f>
        <v>16735501.225455239</v>
      </c>
      <c r="AZS28" s="613">
        <f t="shared" ref="AZS28" si="708">AZQ$28*$C$28</f>
        <v>16902856.23770979</v>
      </c>
      <c r="AZU28" s="613">
        <f t="shared" ref="AZU28" si="709">AZS$28*$C$28</f>
        <v>17071884.800086889</v>
      </c>
      <c r="AZW28" s="613">
        <f t="shared" ref="AZW28" si="710">AZU$28*$C$28</f>
        <v>17242603.648087759</v>
      </c>
      <c r="AZY28" s="613">
        <f t="shared" ref="AZY28" si="711">AZW$28*$C$28</f>
        <v>17415029.684568636</v>
      </c>
      <c r="BAA28" s="613">
        <f t="shared" ref="BAA28" si="712">AZY$28*$C$28</f>
        <v>17589179.981414322</v>
      </c>
      <c r="BAC28" s="613">
        <f t="shared" ref="BAC28" si="713">BAA$28*$C$28</f>
        <v>17765071.781228464</v>
      </c>
      <c r="BAE28" s="613">
        <f t="shared" ref="BAE28" si="714">BAC$28*$C$28</f>
        <v>17942722.499040749</v>
      </c>
      <c r="BAG28" s="613">
        <f t="shared" ref="BAG28" si="715">BAE$28*$C$28</f>
        <v>18122149.724031158</v>
      </c>
      <c r="BAI28" s="613">
        <f t="shared" ref="BAI28" si="716">BAG$28*$C$28</f>
        <v>18303371.22127147</v>
      </c>
      <c r="BAK28" s="613">
        <f t="shared" ref="BAK28" si="717">BAI$28*$C$28</f>
        <v>18486404.933484185</v>
      </c>
      <c r="BAM28" s="613">
        <f t="shared" ref="BAM28" si="718">BAK$28*$C$28</f>
        <v>18671268.982819028</v>
      </c>
      <c r="BAO28" s="613">
        <f t="shared" ref="BAO28" si="719">BAM$28*$C$28</f>
        <v>18857981.672647219</v>
      </c>
      <c r="BAQ28" s="613">
        <f t="shared" ref="BAQ28" si="720">BAO$28*$C$28</f>
        <v>19046561.489373691</v>
      </c>
      <c r="BAS28" s="613">
        <f t="shared" ref="BAS28" si="721">BAQ$28*$C$28</f>
        <v>19237027.10426743</v>
      </c>
      <c r="BAU28" s="613">
        <f t="shared" ref="BAU28" si="722">BAS$28*$C$28</f>
        <v>19429397.375310104</v>
      </c>
      <c r="BAW28" s="613">
        <f t="shared" ref="BAW28" si="723">BAU$28*$C$28</f>
        <v>19623691.349063206</v>
      </c>
      <c r="BAY28" s="613">
        <f t="shared" ref="BAY28" si="724">BAW$28*$C$28</f>
        <v>19819928.262553837</v>
      </c>
      <c r="BBA28" s="613">
        <f t="shared" ref="BBA28" si="725">BAY$28*$C$28</f>
        <v>20018127.545179375</v>
      </c>
      <c r="BBC28" s="613">
        <f t="shared" ref="BBC28" si="726">BBA$28*$C$28</f>
        <v>20218308.820631169</v>
      </c>
      <c r="BBE28" s="613">
        <f t="shared" ref="BBE28" si="727">BBC$28*$C$28</f>
        <v>20420491.908837482</v>
      </c>
      <c r="BBG28" s="613">
        <f t="shared" ref="BBG28" si="728">BBE$28*$C$28</f>
        <v>20624696.827925857</v>
      </c>
      <c r="BBI28" s="613">
        <f t="shared" ref="BBI28" si="729">BBG$28*$C$28</f>
        <v>20830943.796205115</v>
      </c>
      <c r="BBK28" s="613">
        <f t="shared" ref="BBK28" si="730">BBI$28*$C$28</f>
        <v>21039253.234167166</v>
      </c>
      <c r="BBM28" s="613">
        <f t="shared" ref="BBM28" si="731">BBK$28*$C$28</f>
        <v>21249645.766508836</v>
      </c>
      <c r="BBO28" s="613">
        <f t="shared" ref="BBO28" si="732">BBM$28*$C$28</f>
        <v>21462142.224173926</v>
      </c>
      <c r="BBQ28" s="613">
        <f t="shared" ref="BBQ28" si="733">BBO$28*$C$28</f>
        <v>21676763.646415666</v>
      </c>
      <c r="BBS28" s="613">
        <f t="shared" ref="BBS28" si="734">BBQ$28*$C$28</f>
        <v>21893531.282879822</v>
      </c>
      <c r="BBU28" s="613">
        <f t="shared" ref="BBU28" si="735">BBS$28*$C$28</f>
        <v>22112466.59570862</v>
      </c>
      <c r="BBW28" s="613">
        <f t="shared" ref="BBW28" si="736">BBU$28*$C$28</f>
        <v>22333591.261665706</v>
      </c>
      <c r="BBY28" s="613">
        <f t="shared" ref="BBY28" si="737">BBW$28*$C$28</f>
        <v>22556927.174282365</v>
      </c>
      <c r="BCA28" s="613">
        <f t="shared" ref="BCA28" si="738">BBY$28*$C$28</f>
        <v>22782496.446025189</v>
      </c>
      <c r="BCC28" s="613">
        <f t="shared" ref="BCC28" si="739">BCA$28*$C$28</f>
        <v>23010321.410485443</v>
      </c>
      <c r="BCE28" s="613">
        <f t="shared" ref="BCE28" si="740">BCC$28*$C$28</f>
        <v>23240424.624590296</v>
      </c>
      <c r="BCG28" s="613">
        <f t="shared" ref="BCG28" si="741">BCE$28*$C$28</f>
        <v>23472828.870836198</v>
      </c>
      <c r="BCI28" s="613">
        <f t="shared" ref="BCI28" si="742">BCG$28*$C$28</f>
        <v>23707557.159544561</v>
      </c>
      <c r="BCK28" s="613">
        <f t="shared" ref="BCK28" si="743">BCI$28*$C$28</f>
        <v>23944632.731140006</v>
      </c>
      <c r="BCM28" s="613">
        <f t="shared" ref="BCM28" si="744">BCK$28*$C$28</f>
        <v>24184079.058451407</v>
      </c>
      <c r="BCO28" s="613">
        <f t="shared" ref="BCO28" si="745">BCM$28*$C$28</f>
        <v>24425919.849035922</v>
      </c>
      <c r="BCQ28" s="613">
        <f t="shared" ref="BCQ28" si="746">BCO$28*$C$28</f>
        <v>24670179.047526281</v>
      </c>
      <c r="BCS28" s="613">
        <f t="shared" ref="BCS28" si="747">BCQ$28*$C$28</f>
        <v>24916880.838001546</v>
      </c>
      <c r="BCU28" s="613">
        <f t="shared" ref="BCU28" si="748">BCS$28*$C$28</f>
        <v>25166049.646381561</v>
      </c>
      <c r="BCW28" s="613">
        <f t="shared" ref="BCW28" si="749">BCU$28*$C$28</f>
        <v>25417710.142845377</v>
      </c>
      <c r="BCY28" s="613">
        <f t="shared" ref="BCY28" si="750">BCW$28*$C$28</f>
        <v>25671887.24427383</v>
      </c>
      <c r="BDA28" s="613">
        <f t="shared" ref="BDA28" si="751">BCY$28*$C$28</f>
        <v>25928606.116716567</v>
      </c>
      <c r="BDC28" s="613">
        <f t="shared" ref="BDC28" si="752">BDA$28*$C$28</f>
        <v>26187892.177883733</v>
      </c>
      <c r="BDE28" s="613">
        <f t="shared" ref="BDE28" si="753">BDC$28*$C$28</f>
        <v>26449771.099662572</v>
      </c>
      <c r="BDG28" s="613">
        <f t="shared" ref="BDG28" si="754">BDE$28*$C$28</f>
        <v>26714268.8106592</v>
      </c>
      <c r="BDI28" s="613">
        <f t="shared" ref="BDI28" si="755">BDG$28*$C$28</f>
        <v>26981411.498765793</v>
      </c>
      <c r="BDK28" s="613">
        <f t="shared" ref="BDK28" si="756">BDI$28*$C$28</f>
        <v>27251225.613753449</v>
      </c>
      <c r="BDM28" s="613">
        <f t="shared" ref="BDM28" si="757">BDK$28*$C$28</f>
        <v>27523737.869890984</v>
      </c>
      <c r="BDO28" s="613">
        <f t="shared" ref="BDO28" si="758">BDM$28*$C$28</f>
        <v>27798975.248589896</v>
      </c>
      <c r="BDQ28" s="613">
        <f t="shared" ref="BDQ28" si="759">BDO$28*$C$28</f>
        <v>28076965.001075793</v>
      </c>
      <c r="BDS28" s="613">
        <f t="shared" ref="BDS28" si="760">BDQ$28*$C$28</f>
        <v>28357734.65108655</v>
      </c>
      <c r="BDU28" s="613">
        <f t="shared" ref="BDU28" si="761">BDS$28*$C$28</f>
        <v>28641311.997597415</v>
      </c>
      <c r="BDW28" s="613">
        <f t="shared" ref="BDW28" si="762">BDU$28*$C$28</f>
        <v>28927725.117573388</v>
      </c>
      <c r="BDY28" s="613">
        <f t="shared" ref="BDY28" si="763">BDW$28*$C$28</f>
        <v>29217002.368749123</v>
      </c>
      <c r="BEA28" s="613">
        <f t="shared" ref="BEA28" si="764">BDY$28*$C$28</f>
        <v>29509172.392436616</v>
      </c>
      <c r="BEC28" s="613">
        <f t="shared" ref="BEC28" si="765">BEA$28*$C$28</f>
        <v>29804264.116360981</v>
      </c>
      <c r="BEE28" s="613">
        <f t="shared" ref="BEE28" si="766">BEC$28*$C$28</f>
        <v>30102306.757524591</v>
      </c>
      <c r="BEG28" s="613">
        <f t="shared" ref="BEG28" si="767">BEE$28*$C$28</f>
        <v>30403329.825099837</v>
      </c>
      <c r="BEI28" s="613">
        <f t="shared" ref="BEI28" si="768">BEG$28*$C$28</f>
        <v>30707363.123350836</v>
      </c>
      <c r="BEK28" s="613">
        <f t="shared" ref="BEK28" si="769">BEI$28*$C$28</f>
        <v>31014436.754584346</v>
      </c>
      <c r="BEM28" s="613">
        <f t="shared" ref="BEM28" si="770">BEK$28*$C$28</f>
        <v>31324581.122130189</v>
      </c>
      <c r="BEO28" s="613">
        <f t="shared" ref="BEO28" si="771">BEM$28*$C$28</f>
        <v>31637826.933351491</v>
      </c>
      <c r="BEQ28" s="613">
        <f t="shared" ref="BEQ28" si="772">BEO$28*$C$28</f>
        <v>31954205.202685006</v>
      </c>
      <c r="BES28" s="613">
        <f t="shared" ref="BES28" si="773">BEQ$28*$C$28</f>
        <v>32273747.254711855</v>
      </c>
      <c r="BEU28" s="613">
        <f t="shared" ref="BEU28" si="774">BES$28*$C$28</f>
        <v>32596484.727258973</v>
      </c>
      <c r="BEW28" s="613">
        <f t="shared" ref="BEW28" si="775">BEU$28*$C$28</f>
        <v>32922449.574531563</v>
      </c>
      <c r="BEY28" s="613">
        <f t="shared" ref="BEY28" si="776">BEW$28*$C$28</f>
        <v>33251674.070276879</v>
      </c>
      <c r="BFA28" s="613">
        <f t="shared" ref="BFA28" si="777">BEY$28*$C$28</f>
        <v>33584190.810979649</v>
      </c>
      <c r="BFC28" s="613">
        <f t="shared" ref="BFC28" si="778">BFA$28*$C$28</f>
        <v>33920032.719089448</v>
      </c>
      <c r="BFE28" s="613">
        <f t="shared" ref="BFE28" si="779">BFC$28*$C$28</f>
        <v>34259233.046280347</v>
      </c>
      <c r="BFG28" s="613">
        <f t="shared" ref="BFG28" si="780">BFE$28*$C$28</f>
        <v>34601825.376743153</v>
      </c>
      <c r="BFI28" s="613">
        <f t="shared" ref="BFI28" si="781">BFG$28*$C$28</f>
        <v>34947843.630510584</v>
      </c>
      <c r="BFK28" s="613">
        <f t="shared" ref="BFK28" si="782">BFI$28*$C$28</f>
        <v>35297322.066815689</v>
      </c>
      <c r="BFM28" s="613">
        <f t="shared" ref="BFM28" si="783">BFK$28*$C$28</f>
        <v>35650295.287483849</v>
      </c>
      <c r="BFO28" s="613">
        <f t="shared" ref="BFO28" si="784">BFM$28*$C$28</f>
        <v>36006798.240358688</v>
      </c>
      <c r="BFQ28" s="613">
        <f t="shared" ref="BFQ28" si="785">BFO$28*$C$28</f>
        <v>36366866.222762272</v>
      </c>
      <c r="BFS28" s="613">
        <f t="shared" ref="BFS28" si="786">BFQ$28*$C$28</f>
        <v>36730534.884989895</v>
      </c>
      <c r="BFU28" s="613">
        <f t="shared" ref="BFU28" si="787">BFS$28*$C$28</f>
        <v>37097840.233839795</v>
      </c>
      <c r="BFW28" s="613">
        <f t="shared" ref="BFW28" si="788">BFU$28*$C$28</f>
        <v>37468818.636178195</v>
      </c>
      <c r="BFY28" s="613">
        <f t="shared" ref="BFY28" si="789">BFW$28*$C$28</f>
        <v>37843506.822539978</v>
      </c>
      <c r="BGA28" s="613">
        <f t="shared" ref="BGA28" si="790">BFY$28*$C$28</f>
        <v>38221941.890765376</v>
      </c>
      <c r="BGC28" s="613">
        <f t="shared" ref="BGC28" si="791">BGA$28*$C$28</f>
        <v>38604161.309673034</v>
      </c>
      <c r="BGE28" s="613">
        <f t="shared" ref="BGE28" si="792">BGC$28*$C$28</f>
        <v>38990202.922769763</v>
      </c>
      <c r="BGG28" s="613">
        <f t="shared" ref="BGG28" si="793">BGE$28*$C$28</f>
        <v>39380104.951997459</v>
      </c>
      <c r="BGI28" s="613">
        <f t="shared" ref="BGI28" si="794">BGG$28*$C$28</f>
        <v>39773906.001517437</v>
      </c>
      <c r="BGK28" s="613">
        <f t="shared" ref="BGK28" si="795">BGI$28*$C$28</f>
        <v>40171645.061532609</v>
      </c>
      <c r="BGM28" s="613">
        <f t="shared" ref="BGM28" si="796">BGK$28*$C$28</f>
        <v>40573361.512147933</v>
      </c>
      <c r="BGO28" s="613">
        <f t="shared" ref="BGO28" si="797">BGM$28*$C$28</f>
        <v>40979095.12726941</v>
      </c>
      <c r="BGQ28" s="613">
        <f t="shared" ref="BGQ28" si="798">BGO$28*$C$28</f>
        <v>41388886.078542106</v>
      </c>
      <c r="BGS28" s="613">
        <f t="shared" ref="BGS28" si="799">BGQ$28*$C$28</f>
        <v>41802774.939327531</v>
      </c>
      <c r="BGU28" s="613">
        <f t="shared" ref="BGU28" si="800">BGS$28*$C$28</f>
        <v>42220802.688720807</v>
      </c>
      <c r="BGW28" s="613">
        <f t="shared" ref="BGW28" si="801">BGU$28*$C$28</f>
        <v>42643010.715608016</v>
      </c>
      <c r="BGY28" s="613">
        <f t="shared" ref="BGY28" si="802">BGW$28*$C$28</f>
        <v>43069440.822764099</v>
      </c>
      <c r="BHA28" s="613">
        <f t="shared" ref="BHA28" si="803">BGY$28*$C$28</f>
        <v>43500135.230991744</v>
      </c>
      <c r="BHC28" s="613">
        <f t="shared" ref="BHC28" si="804">BHA$28*$C$28</f>
        <v>43935136.583301663</v>
      </c>
      <c r="BHE28" s="613">
        <f t="shared" ref="BHE28" si="805">BHC$28*$C$28</f>
        <v>44374487.949134678</v>
      </c>
      <c r="BHG28" s="613">
        <f t="shared" ref="BHG28" si="806">BHE$28*$C$28</f>
        <v>44818232.828626022</v>
      </c>
      <c r="BHI28" s="613">
        <f t="shared" ref="BHI28" si="807">BHG$28*$C$28</f>
        <v>45266415.156912282</v>
      </c>
      <c r="BHK28" s="613">
        <f t="shared" ref="BHK28" si="808">BHI$28*$C$28</f>
        <v>45719079.308481403</v>
      </c>
      <c r="BHM28" s="613">
        <f t="shared" ref="BHM28" si="809">BHK$28*$C$28</f>
        <v>46176270.101566218</v>
      </c>
      <c r="BHO28" s="613">
        <f t="shared" ref="BHO28" si="810">BHM$28*$C$28</f>
        <v>46638032.802581884</v>
      </c>
      <c r="BHQ28" s="613">
        <f t="shared" ref="BHQ28" si="811">BHO$28*$C$28</f>
        <v>47104413.130607702</v>
      </c>
      <c r="BHS28" s="613">
        <f t="shared" ref="BHS28" si="812">BHQ$28*$C$28</f>
        <v>47575457.261913776</v>
      </c>
      <c r="BHU28" s="613">
        <f t="shared" ref="BHU28" si="813">BHS$28*$C$28</f>
        <v>48051211.834532917</v>
      </c>
      <c r="BHW28" s="613">
        <f t="shared" ref="BHW28" si="814">BHU$28*$C$28</f>
        <v>48531723.952878244</v>
      </c>
      <c r="BHY28" s="613">
        <f t="shared" ref="BHY28" si="815">BHW$28*$C$28</f>
        <v>49017041.192407027</v>
      </c>
      <c r="BIA28" s="613">
        <f t="shared" ref="BIA28" si="816">BHY$28*$C$28</f>
        <v>49507211.604331098</v>
      </c>
      <c r="BIC28" s="613">
        <f t="shared" ref="BIC28" si="817">BIA$28*$C$28</f>
        <v>50002283.720374413</v>
      </c>
      <c r="BIE28" s="613">
        <f t="shared" ref="BIE28" si="818">BIC$28*$C$28</f>
        <v>50502306.557578154</v>
      </c>
      <c r="BIG28" s="613">
        <f t="shared" ref="BIG28" si="819">BIE$28*$C$28</f>
        <v>51007329.623153932</v>
      </c>
      <c r="BII28" s="613">
        <f t="shared" ref="BII28" si="820">BIG$28*$C$28</f>
        <v>51517402.91938547</v>
      </c>
      <c r="BIK28" s="613">
        <f t="shared" ref="BIK28" si="821">BII$28*$C$28</f>
        <v>52032576.948579326</v>
      </c>
      <c r="BIM28" s="613">
        <f t="shared" ref="BIM28" si="822">BIK$28*$C$28</f>
        <v>52552902.71806512</v>
      </c>
      <c r="BIO28" s="613">
        <f t="shared" ref="BIO28" si="823">BIM$28*$C$28</f>
        <v>53078431.74524577</v>
      </c>
      <c r="BIQ28" s="613">
        <f t="shared" ref="BIQ28" si="824">BIO$28*$C$28</f>
        <v>53609216.06269823</v>
      </c>
      <c r="BIS28" s="613">
        <f t="shared" ref="BIS28" si="825">BIQ$28*$C$28</f>
        <v>54145308.223325215</v>
      </c>
      <c r="BIU28" s="613">
        <f t="shared" ref="BIU28" si="826">BIS$28*$C$28</f>
        <v>54686761.305558465</v>
      </c>
      <c r="BIW28" s="613">
        <f t="shared" ref="BIW28" si="827">BIU$28*$C$28</f>
        <v>55233628.918614052</v>
      </c>
      <c r="BIY28" s="613">
        <f t="shared" ref="BIY28" si="828">BIW$28*$C$28</f>
        <v>55785965.207800195</v>
      </c>
      <c r="BJA28" s="613">
        <f t="shared" ref="BJA28" si="829">BIY$28*$C$28</f>
        <v>56343824.859878197</v>
      </c>
      <c r="BJC28" s="613">
        <f t="shared" ref="BJC28" si="830">BJA$28*$C$28</f>
        <v>56907263.108476982</v>
      </c>
      <c r="BJE28" s="613">
        <f t="shared" ref="BJE28" si="831">BJC$28*$C$28</f>
        <v>57476335.739561751</v>
      </c>
      <c r="BJG28" s="613">
        <f t="shared" ref="BJG28" si="832">BJE$28*$C$28</f>
        <v>58051099.096957371</v>
      </c>
      <c r="BJI28" s="613">
        <f t="shared" ref="BJI28" si="833">BJG$28*$C$28</f>
        <v>58631610.087926947</v>
      </c>
      <c r="BJK28" s="613">
        <f t="shared" ref="BJK28" si="834">BJI$28*$C$28</f>
        <v>59217926.188806213</v>
      </c>
      <c r="BJM28" s="613">
        <f t="shared" ref="BJM28" si="835">BJK$28*$C$28</f>
        <v>59810105.450694278</v>
      </c>
      <c r="BJO28" s="613">
        <f t="shared" ref="BJO28" si="836">BJM$28*$C$28</f>
        <v>60408206.505201221</v>
      </c>
      <c r="BJQ28" s="613">
        <f t="shared" ref="BJQ28" si="837">BJO$28*$C$28</f>
        <v>61012288.570253231</v>
      </c>
      <c r="BJS28" s="613">
        <f t="shared" ref="BJS28" si="838">BJQ$28*$C$28</f>
        <v>61622411.455955766</v>
      </c>
      <c r="BJU28" s="613">
        <f t="shared" ref="BJU28" si="839">BJS$28*$C$28</f>
        <v>62238635.570515327</v>
      </c>
      <c r="BJW28" s="613">
        <f t="shared" ref="BJW28" si="840">BJU$28*$C$28</f>
        <v>62861021.926220484</v>
      </c>
      <c r="BJY28" s="613">
        <f t="shared" ref="BJY28" si="841">BJW$28*$C$28</f>
        <v>63489632.145482689</v>
      </c>
      <c r="BKA28" s="613">
        <f t="shared" ref="BKA28" si="842">BJY$28*$C$28</f>
        <v>64124528.46693752</v>
      </c>
      <c r="BKC28" s="613">
        <f t="shared" ref="BKC28" si="843">BKA$28*$C$28</f>
        <v>64765773.751606897</v>
      </c>
      <c r="BKE28" s="613">
        <f t="shared" ref="BKE28" si="844">BKC$28*$C$28</f>
        <v>65413431.489122964</v>
      </c>
      <c r="BKG28" s="613">
        <f t="shared" ref="BKG28" si="845">BKE$28*$C$28</f>
        <v>66067565.804014191</v>
      </c>
      <c r="BKI28" s="613">
        <f t="shared" ref="BKI28" si="846">BKG$28*$C$28</f>
        <v>66728241.462054335</v>
      </c>
      <c r="BKK28" s="613">
        <f t="shared" ref="BKK28" si="847">BKI$28*$C$28</f>
        <v>67395523.876674876</v>
      </c>
      <c r="BKM28" s="613">
        <f t="shared" ref="BKM28" si="848">BKK$28*$C$28</f>
        <v>68069479.11544162</v>
      </c>
      <c r="BKO28" s="613">
        <f t="shared" ref="BKO28" si="849">BKM$28*$C$28</f>
        <v>68750173.906596035</v>
      </c>
      <c r="BKQ28" s="613">
        <f t="shared" ref="BKQ28" si="850">BKO$28*$C$28</f>
        <v>69437675.645661995</v>
      </c>
      <c r="BKS28" s="613">
        <f t="shared" ref="BKS28" si="851">BKQ$28*$C$28</f>
        <v>70132052.402118608</v>
      </c>
      <c r="BKU28" s="613">
        <f t="shared" ref="BKU28" si="852">BKS$28*$C$28</f>
        <v>70833372.926139802</v>
      </c>
      <c r="BKW28" s="613">
        <f t="shared" ref="BKW28" si="853">BKU$28*$C$28</f>
        <v>71541706.6554012</v>
      </c>
      <c r="BKY28" s="613">
        <f t="shared" ref="BKY28" si="854">BKW$28*$C$28</f>
        <v>72257123.72195521</v>
      </c>
      <c r="BLA28" s="613">
        <f t="shared" ref="BLA28" si="855">BKY$28*$C$28</f>
        <v>72979694.959174767</v>
      </c>
      <c r="BLC28" s="613">
        <f t="shared" ref="BLC28" si="856">BLA$28*$C$28</f>
        <v>73709491.908766508</v>
      </c>
      <c r="BLE28" s="613">
        <f t="shared" ref="BLE28" si="857">BLC$28*$C$28</f>
        <v>74446586.827854171</v>
      </c>
      <c r="BLG28" s="613">
        <f t="shared" ref="BLG28" si="858">BLE$28*$C$28</f>
        <v>75191052.69613272</v>
      </c>
      <c r="BLI28" s="613">
        <f t="shared" ref="BLI28" si="859">BLG$28*$C$28</f>
        <v>75942963.223094046</v>
      </c>
      <c r="BLK28" s="613">
        <f t="shared" ref="BLK28" si="860">BLI$28*$C$28</f>
        <v>76702392.855324984</v>
      </c>
      <c r="BLM28" s="613">
        <f t="shared" ref="BLM28" si="861">BLK$28*$C$28</f>
        <v>77469416.783878237</v>
      </c>
      <c r="BLO28" s="613">
        <f t="shared" ref="BLO28" si="862">BLM$28*$C$28</f>
        <v>78244110.951717019</v>
      </c>
      <c r="BLQ28" s="613">
        <f t="shared" ref="BLQ28" si="863">BLO$28*$C$28</f>
        <v>79026552.061234191</v>
      </c>
      <c r="BLS28" s="613">
        <f t="shared" ref="BLS28" si="864">BLQ$28*$C$28</f>
        <v>79816817.581846535</v>
      </c>
      <c r="BLU28" s="613">
        <f t="shared" ref="BLU28" si="865">BLS$28*$C$28</f>
        <v>80614985.757665008</v>
      </c>
      <c r="BLW28" s="613">
        <f t="shared" ref="BLW28" si="866">BLU$28*$C$28</f>
        <v>81421135.615241662</v>
      </c>
      <c r="BLY28" s="613">
        <f t="shared" ref="BLY28" si="867">BLW$28*$C$28</f>
        <v>82235346.971394077</v>
      </c>
      <c r="BMA28" s="613">
        <f t="shared" ref="BMA28" si="868">BLY$28*$C$28</f>
        <v>83057700.441108018</v>
      </c>
      <c r="BMC28" s="613">
        <f t="shared" ref="BMC28" si="869">BMA$28*$C$28</f>
        <v>83888277.445519105</v>
      </c>
      <c r="BME28" s="613">
        <f t="shared" ref="BME28" si="870">BMC$28*$C$28</f>
        <v>84727160.219974294</v>
      </c>
      <c r="BMG28" s="613">
        <f t="shared" ref="BMG28" si="871">BME$28*$C$28</f>
        <v>85574431.822174042</v>
      </c>
      <c r="BMI28" s="613">
        <f t="shared" ref="BMI28" si="872">BMG$28*$C$28</f>
        <v>86430176.14039579</v>
      </c>
      <c r="BMK28" s="613">
        <f t="shared" ref="BMK28" si="873">BMI$28*$C$28</f>
        <v>87294477.901799753</v>
      </c>
      <c r="BMM28" s="613">
        <f t="shared" ref="BMM28" si="874">BMK$28*$C$28</f>
        <v>88167422.680817753</v>
      </c>
      <c r="BMO28" s="613">
        <f t="shared" ref="BMO28" si="875">BMM$28*$C$28</f>
        <v>89049096.907625929</v>
      </c>
      <c r="BMQ28" s="613">
        <f t="shared" ref="BMQ28" si="876">BMO$28*$C$28</f>
        <v>89939587.876702189</v>
      </c>
      <c r="BMS28" s="613">
        <f t="shared" ref="BMS28" si="877">BMQ$28*$C$28</f>
        <v>90838983.755469218</v>
      </c>
      <c r="BMU28" s="613">
        <f t="shared" ref="BMU28" si="878">BMS$28*$C$28</f>
        <v>91747373.593023911</v>
      </c>
      <c r="BMW28" s="613">
        <f t="shared" ref="BMW28" si="879">BMU$28*$C$28</f>
        <v>92664847.328954145</v>
      </c>
      <c r="BMY28" s="613">
        <f t="shared" ref="BMY28" si="880">BMW$28*$C$28</f>
        <v>93591495.802243695</v>
      </c>
      <c r="BNA28" s="613">
        <f t="shared" ref="BNA28" si="881">BMY$28*$C$28</f>
        <v>94527410.760266125</v>
      </c>
      <c r="BNC28" s="613">
        <f t="shared" ref="BNC28" si="882">BNA$28*$C$28</f>
        <v>95472684.867868781</v>
      </c>
      <c r="BNE28" s="613">
        <f t="shared" ref="BNE28" si="883">BNC$28*$C$28</f>
        <v>96427411.716547474</v>
      </c>
      <c r="BNG28" s="613">
        <f t="shared" ref="BNG28" si="884">BNE$28*$C$28</f>
        <v>97391685.83371295</v>
      </c>
      <c r="BNI28" s="613">
        <f t="shared" ref="BNI28" si="885">BNG$28*$C$28</f>
        <v>98365602.692050084</v>
      </c>
      <c r="BNK28" s="613">
        <f t="shared" ref="BNK28" si="886">BNI$28*$C$28</f>
        <v>99349258.718970582</v>
      </c>
      <c r="BNM28" s="613">
        <f t="shared" ref="BNM28" si="887">BNK$28*$C$28</f>
        <v>100342751.30616029</v>
      </c>
      <c r="BNO28" s="613">
        <f t="shared" ref="BNO28" si="888">BNM$28*$C$28</f>
        <v>101346178.81922188</v>
      </c>
      <c r="BNQ28" s="613">
        <f t="shared" ref="BNQ28" si="889">BNO$28*$C$28</f>
        <v>102359640.6074141</v>
      </c>
      <c r="BNS28" s="613">
        <f t="shared" ref="BNS28" si="890">BNQ$28*$C$28</f>
        <v>103383237.01348823</v>
      </c>
      <c r="BNU28" s="613">
        <f t="shared" ref="BNU28" si="891">BNS$28*$C$28</f>
        <v>104417069.38362312</v>
      </c>
      <c r="BNW28" s="613">
        <f t="shared" ref="BNW28" si="892">BNU$28*$C$28</f>
        <v>105461240.07745935</v>
      </c>
      <c r="BNY28" s="613">
        <f t="shared" ref="BNY28" si="893">BNW$28*$C$28</f>
        <v>106515852.47823395</v>
      </c>
      <c r="BOA28" s="613">
        <f t="shared" ref="BOA28" si="894">BNY$28*$C$28</f>
        <v>107581011.00301629</v>
      </c>
      <c r="BOC28" s="613">
        <f t="shared" ref="BOC28" si="895">BOA$28*$C$28</f>
        <v>108656821.11304645</v>
      </c>
      <c r="BOE28" s="613">
        <f t="shared" ref="BOE28" si="896">BOC$28*$C$28</f>
        <v>109743389.32417692</v>
      </c>
      <c r="BOG28" s="613">
        <f t="shared" ref="BOG28" si="897">BOE$28*$C$28</f>
        <v>110840823.21741869</v>
      </c>
      <c r="BOI28" s="613">
        <f t="shared" ref="BOI28" si="898">BOG$28*$C$28</f>
        <v>111949231.44959287</v>
      </c>
      <c r="BOK28" s="613">
        <f t="shared" ref="BOK28" si="899">BOI$28*$C$28</f>
        <v>113068723.76408881</v>
      </c>
      <c r="BOM28" s="613">
        <f t="shared" ref="BOM28" si="900">BOK$28*$C$28</f>
        <v>114199411.0017297</v>
      </c>
      <c r="BOO28" s="613">
        <f t="shared" ref="BOO28" si="901">BOM$28*$C$28</f>
        <v>115341405.111747</v>
      </c>
      <c r="BOQ28" s="613">
        <f t="shared" ref="BOQ28" si="902">BOO$28*$C$28</f>
        <v>116494819.16286446</v>
      </c>
      <c r="BOS28" s="613">
        <f t="shared" ref="BOS28" si="903">BOQ$28*$C$28</f>
        <v>117659767.35449311</v>
      </c>
      <c r="BOU28" s="613">
        <f t="shared" ref="BOU28" si="904">BOS$28*$C$28</f>
        <v>118836365.02803804</v>
      </c>
      <c r="BOW28" s="613">
        <f t="shared" ref="BOW28" si="905">BOU$28*$C$28</f>
        <v>120024728.67831843</v>
      </c>
      <c r="BOY28" s="613">
        <f t="shared" ref="BOY28" si="906">BOW$28*$C$28</f>
        <v>121224975.96510161</v>
      </c>
      <c r="BPA28" s="613">
        <f t="shared" ref="BPA28" si="907">BOY$28*$C$28</f>
        <v>122437225.72475263</v>
      </c>
      <c r="BPC28" s="613">
        <f t="shared" ref="BPC28" si="908">BPA$28*$C$28</f>
        <v>123661597.98200016</v>
      </c>
      <c r="BPE28" s="613">
        <f t="shared" ref="BPE28" si="909">BPC$28*$C$28</f>
        <v>124898213.96182016</v>
      </c>
      <c r="BPG28" s="613">
        <f t="shared" ref="BPG28" si="910">BPE$28*$C$28</f>
        <v>126147196.10143836</v>
      </c>
      <c r="BPI28" s="613">
        <f t="shared" ref="BPI28" si="911">BPG$28*$C$28</f>
        <v>127408668.06245275</v>
      </c>
      <c r="BPK28" s="613">
        <f t="shared" ref="BPK28" si="912">BPI$28*$C$28</f>
        <v>128682754.74307728</v>
      </c>
      <c r="BPM28" s="613">
        <f t="shared" ref="BPM28" si="913">BPK$28*$C$28</f>
        <v>129969582.29050805</v>
      </c>
      <c r="BPO28" s="613">
        <f t="shared" ref="BPO28" si="914">BPM$28*$C$28</f>
        <v>131269278.11341313</v>
      </c>
      <c r="BPQ28" s="613">
        <f t="shared" ref="BPQ28" si="915">BPO$28*$C$28</f>
        <v>132581970.89454725</v>
      </c>
      <c r="BPS28" s="613">
        <f t="shared" ref="BPS28" si="916">BPQ$28*$C$28</f>
        <v>133907790.60349272</v>
      </c>
      <c r="BPU28" s="613">
        <f t="shared" ref="BPU28" si="917">BPS$28*$C$28</f>
        <v>135246868.50952765</v>
      </c>
      <c r="BPW28" s="613">
        <f t="shared" ref="BPW28" si="918">BPU$28*$C$28</f>
        <v>136599337.19462293</v>
      </c>
      <c r="BPY28" s="613">
        <f t="shared" ref="BPY28" si="919">BPW$28*$C$28</f>
        <v>137965330.56656918</v>
      </c>
      <c r="BQA28" s="613">
        <f t="shared" ref="BQA28" si="920">BPY$28*$C$28</f>
        <v>139344983.87223488</v>
      </c>
      <c r="BQC28" s="613">
        <f t="shared" ref="BQC28" si="921">BQA$28*$C$28</f>
        <v>140738433.71095723</v>
      </c>
      <c r="BQE28" s="613">
        <f t="shared" ref="BQE28" si="922">BQC$28*$C$28</f>
        <v>142145818.04806679</v>
      </c>
      <c r="BQG28" s="613">
        <f t="shared" ref="BQG28" si="923">BQE$28*$C$28</f>
        <v>143567276.22854745</v>
      </c>
      <c r="BQI28" s="613">
        <f t="shared" ref="BQI28" si="924">BQG$28*$C$28</f>
        <v>145002948.99083292</v>
      </c>
      <c r="BQK28" s="613">
        <f t="shared" ref="BQK28" si="925">BQI$28*$C$28</f>
        <v>146452978.48074126</v>
      </c>
      <c r="BQM28" s="613">
        <f t="shared" ref="BQM28" si="926">BQK$28*$C$28</f>
        <v>147917508.26554868</v>
      </c>
      <c r="BQO28" s="613">
        <f t="shared" ref="BQO28" si="927">BQM$28*$C$28</f>
        <v>149396683.34820417</v>
      </c>
      <c r="BQQ28" s="613">
        <f t="shared" ref="BQQ28" si="928">BQO$28*$C$28</f>
        <v>150890650.18168622</v>
      </c>
      <c r="BQS28" s="613">
        <f t="shared" ref="BQS28" si="929">BQQ$28*$C$28</f>
        <v>152399556.68350309</v>
      </c>
      <c r="BQU28" s="613">
        <f t="shared" ref="BQU28" si="930">BQS$28*$C$28</f>
        <v>153923552.25033814</v>
      </c>
      <c r="BQW28" s="613">
        <f t="shared" ref="BQW28" si="931">BQU$28*$C$28</f>
        <v>155462787.77284151</v>
      </c>
      <c r="BQY28" s="613">
        <f t="shared" ref="BQY28" si="932">BQW$28*$C$28</f>
        <v>157017415.65056992</v>
      </c>
      <c r="BRA28" s="613">
        <f t="shared" ref="BRA28" si="933">BQY$28*$C$28</f>
        <v>158587589.80707562</v>
      </c>
      <c r="BRC28" s="613">
        <f t="shared" ref="BRC28" si="934">BRA$28*$C$28</f>
        <v>160173465.70514637</v>
      </c>
      <c r="BRE28" s="613">
        <f t="shared" ref="BRE28" si="935">BRC$28*$C$28</f>
        <v>161775200.36219785</v>
      </c>
      <c r="BRG28" s="613">
        <f t="shared" ref="BRG28" si="936">BRE$28*$C$28</f>
        <v>163392952.36581981</v>
      </c>
      <c r="BRI28" s="613">
        <f t="shared" ref="BRI28" si="937">BRG$28*$C$28</f>
        <v>165026881.889478</v>
      </c>
      <c r="BRK28" s="613">
        <f t="shared" ref="BRK28" si="938">BRI$28*$C$28</f>
        <v>166677150.70837277</v>
      </c>
      <c r="BRM28" s="613">
        <f t="shared" ref="BRM28" si="939">BRK$28*$C$28</f>
        <v>168343922.21545652</v>
      </c>
      <c r="BRO28" s="613">
        <f t="shared" ref="BRO28" si="940">BRM$28*$C$28</f>
        <v>170027361.43761107</v>
      </c>
      <c r="BRQ28" s="613">
        <f t="shared" ref="BRQ28" si="941">BRO$28*$C$28</f>
        <v>171727635.05198717</v>
      </c>
      <c r="BRS28" s="613">
        <f t="shared" ref="BRS28" si="942">BRQ$28*$C$28</f>
        <v>173444911.40250704</v>
      </c>
      <c r="BRU28" s="613">
        <f t="shared" ref="BRU28" si="943">BRS$28*$C$28</f>
        <v>175179360.51653212</v>
      </c>
      <c r="BRW28" s="613">
        <f t="shared" ref="BRW28" si="944">BRU$28*$C$28</f>
        <v>176931154.12169746</v>
      </c>
      <c r="BRY28" s="613">
        <f t="shared" ref="BRY28" si="945">BRW$28*$C$28</f>
        <v>178700465.66291443</v>
      </c>
      <c r="BSA28" s="613">
        <f t="shared" ref="BSA28" si="946">BRY$28*$C$28</f>
        <v>180487470.31954357</v>
      </c>
      <c r="BSC28" s="613">
        <f t="shared" ref="BSC28" si="947">BSA$28*$C$28</f>
        <v>182292345.02273899</v>
      </c>
      <c r="BSE28" s="613">
        <f t="shared" ref="BSE28" si="948">BSC$28*$C$28</f>
        <v>184115268.47296637</v>
      </c>
      <c r="BSG28" s="613">
        <f t="shared" ref="BSG28" si="949">BSE$28*$C$28</f>
        <v>185956421.15769604</v>
      </c>
      <c r="BSI28" s="613">
        <f t="shared" ref="BSI28" si="950">BSG$28*$C$28</f>
        <v>187815985.36927301</v>
      </c>
      <c r="BSK28" s="613">
        <f t="shared" ref="BSK28" si="951">BSI$28*$C$28</f>
        <v>189694145.22296575</v>
      </c>
      <c r="BSM28" s="613">
        <f t="shared" ref="BSM28" si="952">BSK$28*$C$28</f>
        <v>191591086.6751954</v>
      </c>
      <c r="BSO28" s="613">
        <f t="shared" ref="BSO28" si="953">BSM$28*$C$28</f>
        <v>193506997.54194736</v>
      </c>
      <c r="BSQ28" s="613">
        <f t="shared" ref="BSQ28" si="954">BSO$28*$C$28</f>
        <v>195442067.51736683</v>
      </c>
      <c r="BSS28" s="613">
        <f t="shared" ref="BSS28" si="955">BSQ$28*$C$28</f>
        <v>197396488.1925405</v>
      </c>
      <c r="BSU28" s="613">
        <f t="shared" ref="BSU28" si="956">BSS$28*$C$28</f>
        <v>199370453.0744659</v>
      </c>
      <c r="BSW28" s="613">
        <f t="shared" ref="BSW28" si="957">BSU$28*$C$28</f>
        <v>201364157.60521057</v>
      </c>
      <c r="BSY28" s="613">
        <f t="shared" ref="BSY28" si="958">BSW$28*$C$28</f>
        <v>203377799.18126267</v>
      </c>
      <c r="BTA28" s="613">
        <f t="shared" ref="BTA28" si="959">BSY$28*$C$28</f>
        <v>205411577.17307529</v>
      </c>
      <c r="BTC28" s="613">
        <f t="shared" ref="BTC28" si="960">BTA$28*$C$28</f>
        <v>207465692.94480604</v>
      </c>
      <c r="BTE28" s="613">
        <f t="shared" ref="BTE28" si="961">BTC$28*$C$28</f>
        <v>209540349.87425411</v>
      </c>
      <c r="BTG28" s="613">
        <f t="shared" ref="BTG28" si="962">BTE$28*$C$28</f>
        <v>211635753.37299666</v>
      </c>
      <c r="BTI28" s="613">
        <f t="shared" ref="BTI28" si="963">BTG$28*$C$28</f>
        <v>213752110.90672663</v>
      </c>
      <c r="BTK28" s="613">
        <f t="shared" ref="BTK28" si="964">BTI$28*$C$28</f>
        <v>215889632.01579389</v>
      </c>
      <c r="BTM28" s="613">
        <f t="shared" ref="BTM28" si="965">BTK$28*$C$28</f>
        <v>218048528.33595183</v>
      </c>
      <c r="BTO28" s="613">
        <f t="shared" ref="BTO28" si="966">BTM$28*$C$28</f>
        <v>220229013.61931136</v>
      </c>
      <c r="BTQ28" s="613">
        <f t="shared" ref="BTQ28" si="967">BTO$28*$C$28</f>
        <v>222431303.75550449</v>
      </c>
      <c r="BTS28" s="613">
        <f t="shared" ref="BTS28" si="968">BTQ$28*$C$28</f>
        <v>224655616.79305953</v>
      </c>
      <c r="BTU28" s="613">
        <f t="shared" ref="BTU28" si="969">BTS$28*$C$28</f>
        <v>226902172.96099013</v>
      </c>
      <c r="BTW28" s="613">
        <f t="shared" ref="BTW28" si="970">BTU$28*$C$28</f>
        <v>229171194.69060004</v>
      </c>
      <c r="BTY28" s="613">
        <f t="shared" ref="BTY28" si="971">BTW$28*$C$28</f>
        <v>231462906.63750604</v>
      </c>
      <c r="BUA28" s="613">
        <f t="shared" ref="BUA28" si="972">BTY$28*$C$28</f>
        <v>233777535.70388111</v>
      </c>
      <c r="BUC28" s="613">
        <f t="shared" ref="BUC28" si="973">BUA$28*$C$28</f>
        <v>236115311.06091994</v>
      </c>
      <c r="BUE28" s="613">
        <f t="shared" ref="BUE28" si="974">BUC$28*$C$28</f>
        <v>238476464.17152914</v>
      </c>
      <c r="BUG28" s="613">
        <f t="shared" ref="BUG28" si="975">BUE$28*$C$28</f>
        <v>240861228.81324443</v>
      </c>
      <c r="BUI28" s="613">
        <f t="shared" ref="BUI28" si="976">BUG$28*$C$28</f>
        <v>243269841.10137689</v>
      </c>
      <c r="BUK28" s="613">
        <f t="shared" ref="BUK28" si="977">BUI$28*$C$28</f>
        <v>245702539.51239067</v>
      </c>
      <c r="BUM28" s="613">
        <f t="shared" ref="BUM28" si="978">BUK$28*$C$28</f>
        <v>248159564.90751457</v>
      </c>
      <c r="BUO28" s="613">
        <f t="shared" ref="BUO28" si="979">BUM$28*$C$28</f>
        <v>250641160.55658972</v>
      </c>
      <c r="BUQ28" s="613">
        <f t="shared" ref="BUQ28" si="980">BUO$28*$C$28</f>
        <v>253147572.16215563</v>
      </c>
      <c r="BUS28" s="613">
        <f t="shared" ref="BUS28" si="981">BUQ$28*$C$28</f>
        <v>255679047.8837772</v>
      </c>
      <c r="BUU28" s="613">
        <f t="shared" ref="BUU28" si="982">BUS$28*$C$28</f>
        <v>258235838.36261499</v>
      </c>
      <c r="BUW28" s="613">
        <f t="shared" ref="BUW28" si="983">BUU$28*$C$28</f>
        <v>260818196.74624115</v>
      </c>
      <c r="BUY28" s="613">
        <f t="shared" ref="BUY28" si="984">BUW$28*$C$28</f>
        <v>263426378.71370357</v>
      </c>
      <c r="BVA28" s="613">
        <f t="shared" ref="BVA28" si="985">BUY$28*$C$28</f>
        <v>266060642.5008406</v>
      </c>
      <c r="BVC28" s="613">
        <f t="shared" ref="BVC28" si="986">BVA$28*$C$28</f>
        <v>268721248.92584902</v>
      </c>
      <c r="BVE28" s="613">
        <f t="shared" ref="BVE28" si="987">BVC$28*$C$28</f>
        <v>271408461.41510749</v>
      </c>
      <c r="BVG28" s="613">
        <f t="shared" ref="BVG28" si="988">BVE$28*$C$28</f>
        <v>274122546.02925855</v>
      </c>
      <c r="BVI28" s="613">
        <f t="shared" ref="BVI28" si="989">BVG$28*$C$28</f>
        <v>276863771.48955113</v>
      </c>
      <c r="BVK28" s="613">
        <f t="shared" ref="BVK28" si="990">BVI$28*$C$28</f>
        <v>279632409.20444661</v>
      </c>
      <c r="BVM28" s="613">
        <f t="shared" ref="BVM28" si="991">BVK$28*$C$28</f>
        <v>282428733.29649109</v>
      </c>
      <c r="BVO28" s="613">
        <f t="shared" ref="BVO28" si="992">BVM$28*$C$28</f>
        <v>285253020.62945598</v>
      </c>
      <c r="BVQ28" s="613">
        <f t="shared" ref="BVQ28" si="993">BVO$28*$C$28</f>
        <v>288105550.83575052</v>
      </c>
      <c r="BVS28" s="613">
        <f t="shared" ref="BVS28" si="994">BVQ$28*$C$28</f>
        <v>290986606.34410805</v>
      </c>
      <c r="BVU28" s="613">
        <f t="shared" ref="BVU28" si="995">BVS$28*$C$28</f>
        <v>293896472.40754914</v>
      </c>
      <c r="BVW28" s="613">
        <f t="shared" ref="BVW28" si="996">BVU$28*$C$28</f>
        <v>296835437.13162464</v>
      </c>
      <c r="BVY28" s="613">
        <f t="shared" ref="BVY28" si="997">BVW$28*$C$28</f>
        <v>299803791.50294089</v>
      </c>
      <c r="BWA28" s="613">
        <f t="shared" ref="BWA28" si="998">BVY$28*$C$28</f>
        <v>302801829.4179703</v>
      </c>
      <c r="BWC28" s="613">
        <f t="shared" ref="BWC28" si="999">BWA$28*$C$28</f>
        <v>305829847.71214998</v>
      </c>
      <c r="BWE28" s="613">
        <f t="shared" ref="BWE28" si="1000">BWC$28*$C$28</f>
        <v>308888146.18927151</v>
      </c>
      <c r="BWG28" s="613">
        <f t="shared" ref="BWG28" si="1001">BWE$28*$C$28</f>
        <v>311977027.65116423</v>
      </c>
      <c r="BWI28" s="613">
        <f t="shared" ref="BWI28" si="1002">BWG$28*$C$28</f>
        <v>315096797.9276759</v>
      </c>
      <c r="BWK28" s="613">
        <f t="shared" ref="BWK28" si="1003">BWI$28*$C$28</f>
        <v>318247765.90695268</v>
      </c>
      <c r="BWM28" s="613">
        <f t="shared" ref="BWM28" si="1004">BWK$28*$C$28</f>
        <v>321430243.56602222</v>
      </c>
      <c r="BWO28" s="613">
        <f t="shared" ref="BWO28" si="1005">BWM$28*$C$28</f>
        <v>324644546.00168246</v>
      </c>
      <c r="BWQ28" s="613">
        <f t="shared" ref="BWQ28" si="1006">BWO$28*$C$28</f>
        <v>327890991.46169931</v>
      </c>
      <c r="BWS28" s="613">
        <f t="shared" ref="BWS28" si="1007">BWQ$28*$C$28</f>
        <v>331169901.37631631</v>
      </c>
      <c r="BWU28" s="613">
        <f t="shared" ref="BWU28" si="1008">BWS$28*$C$28</f>
        <v>334481600.3900795</v>
      </c>
      <c r="BWW28" s="613">
        <f t="shared" ref="BWW28" si="1009">BWU$28*$C$28</f>
        <v>337826416.39398032</v>
      </c>
      <c r="BWY28" s="613">
        <f t="shared" ref="BWY28" si="1010">BWW$28*$C$28</f>
        <v>341204680.55792016</v>
      </c>
      <c r="BXA28" s="613">
        <f t="shared" ref="BXA28" si="1011">BWY$28*$C$28</f>
        <v>344616727.36349934</v>
      </c>
      <c r="BXC28" s="613">
        <f t="shared" ref="BXC28" si="1012">BXA$28*$C$28</f>
        <v>348062894.63713431</v>
      </c>
      <c r="BXE28" s="613">
        <f t="shared" ref="BXE28" si="1013">BXC$28*$C$28</f>
        <v>351543523.58350563</v>
      </c>
      <c r="BXG28" s="613">
        <f t="shared" ref="BXG28" si="1014">BXE$28*$C$28</f>
        <v>355058958.81934071</v>
      </c>
      <c r="BXI28" s="613">
        <f t="shared" ref="BXI28" si="1015">BXG$28*$C$28</f>
        <v>358609548.40753412</v>
      </c>
      <c r="BXK28" s="613">
        <f t="shared" ref="BXK28" si="1016">BXI$28*$C$28</f>
        <v>362195643.89160949</v>
      </c>
      <c r="BXM28" s="613">
        <f t="shared" ref="BXM28" si="1017">BXK$28*$C$28</f>
        <v>365817600.33052558</v>
      </c>
      <c r="BXO28" s="613">
        <f t="shared" ref="BXO28" si="1018">BXM$28*$C$28</f>
        <v>369475776.33383083</v>
      </c>
      <c r="BXQ28" s="613">
        <f t="shared" ref="BXQ28" si="1019">BXO$28*$C$28</f>
        <v>373170534.09716916</v>
      </c>
      <c r="BXS28" s="613">
        <f t="shared" ref="BXS28" si="1020">BXQ$28*$C$28</f>
        <v>376902239.43814087</v>
      </c>
      <c r="BXU28" s="613">
        <f t="shared" ref="BXU28" si="1021">BXS$28*$C$28</f>
        <v>380671261.83252227</v>
      </c>
      <c r="BXW28" s="613">
        <f t="shared" ref="BXW28" si="1022">BXU$28*$C$28</f>
        <v>384477974.45084751</v>
      </c>
      <c r="BXY28" s="613">
        <f t="shared" ref="BXY28" si="1023">BXW$28*$C$28</f>
        <v>388322754.19535601</v>
      </c>
      <c r="BYA28" s="613">
        <f t="shared" ref="BYA28" si="1024">BXY$28*$C$28</f>
        <v>392205981.73730958</v>
      </c>
      <c r="BYC28" s="613">
        <f t="shared" ref="BYC28" si="1025">BYA$28*$C$28</f>
        <v>396128041.55468267</v>
      </c>
      <c r="BYE28" s="613">
        <f t="shared" ref="BYE28" si="1026">BYC$28*$C$28</f>
        <v>400089321.97022951</v>
      </c>
      <c r="BYG28" s="613">
        <f t="shared" ref="BYG28" si="1027">BYE$28*$C$28</f>
        <v>404090215.18993181</v>
      </c>
      <c r="BYI28" s="613">
        <f t="shared" ref="BYI28" si="1028">BYG$28*$C$28</f>
        <v>408131117.34183115</v>
      </c>
      <c r="BYK28" s="613">
        <f t="shared" ref="BYK28" si="1029">BYI$28*$C$28</f>
        <v>412212428.51524949</v>
      </c>
      <c r="BYM28" s="613">
        <f t="shared" ref="BYM28" si="1030">BYK$28*$C$28</f>
        <v>416334552.80040199</v>
      </c>
      <c r="BYO28" s="613">
        <f t="shared" ref="BYO28" si="1031">BYM$28*$C$28</f>
        <v>420497898.32840604</v>
      </c>
      <c r="BYQ28" s="613">
        <f t="shared" ref="BYQ28" si="1032">BYO$28*$C$28</f>
        <v>424702877.31169009</v>
      </c>
      <c r="BYS28" s="613">
        <f t="shared" ref="BYS28" si="1033">BYQ$28*$C$28</f>
        <v>428949906.08480698</v>
      </c>
      <c r="BYU28" s="613">
        <f t="shared" ref="BYU28" si="1034">BYS$28*$C$28</f>
        <v>433239405.14565504</v>
      </c>
      <c r="BYW28" s="613">
        <f t="shared" ref="BYW28" si="1035">BYU$28*$C$28</f>
        <v>437571799.19711161</v>
      </c>
      <c r="BYY28" s="613">
        <f t="shared" ref="BYY28" si="1036">BYW$28*$C$28</f>
        <v>441947517.18908274</v>
      </c>
      <c r="BZA28" s="613">
        <f t="shared" ref="BZA28" si="1037">BYY$28*$C$28</f>
        <v>446366992.3609736</v>
      </c>
      <c r="BZC28" s="613">
        <f t="shared" ref="BZC28" si="1038">BZA$28*$C$28</f>
        <v>450830662.28458333</v>
      </c>
      <c r="BZE28" s="613">
        <f t="shared" ref="BZE28" si="1039">BZC$28*$C$28</f>
        <v>455338968.90742916</v>
      </c>
      <c r="BZG28" s="613">
        <f t="shared" ref="BZG28" si="1040">BZE$28*$C$28</f>
        <v>459892358.59650344</v>
      </c>
      <c r="BZI28" s="613">
        <f t="shared" ref="BZI28" si="1041">BZG$28*$C$28</f>
        <v>464491282.18246847</v>
      </c>
      <c r="BZK28" s="613">
        <f t="shared" ref="BZK28" si="1042">BZI$28*$C$28</f>
        <v>469136195.00429314</v>
      </c>
      <c r="BZM28" s="613">
        <f t="shared" ref="BZM28" si="1043">BZK$28*$C$28</f>
        <v>473827556.95433611</v>
      </c>
      <c r="BZO28" s="613">
        <f t="shared" ref="BZO28" si="1044">BZM$28*$C$28</f>
        <v>478565832.52387947</v>
      </c>
      <c r="BZQ28" s="613">
        <f t="shared" ref="BZQ28" si="1045">BZO$28*$C$28</f>
        <v>483351490.84911829</v>
      </c>
      <c r="BZS28" s="613">
        <f t="shared" ref="BZS28" si="1046">BZQ$28*$C$28</f>
        <v>488185005.75760949</v>
      </c>
      <c r="BZU28" s="613">
        <f t="shared" ref="BZU28" si="1047">BZS$28*$C$28</f>
        <v>493066855.81518561</v>
      </c>
      <c r="BZW28" s="613">
        <f t="shared" ref="BZW28" si="1048">BZU$28*$C$28</f>
        <v>497997524.37333745</v>
      </c>
      <c r="BZY28" s="613">
        <f t="shared" ref="BZY28" si="1049">BZW$28*$C$28</f>
        <v>502977499.61707085</v>
      </c>
      <c r="CAA28" s="613">
        <f t="shared" ref="CAA28" si="1050">BZY$28*$C$28</f>
        <v>508007274.61324155</v>
      </c>
      <c r="CAC28" s="613">
        <f t="shared" ref="CAC28" si="1051">CAA$28*$C$28</f>
        <v>513087347.35937399</v>
      </c>
      <c r="CAE28" s="613">
        <f t="shared" ref="CAE28" si="1052">CAC$28*$C$28</f>
        <v>518218220.83296776</v>
      </c>
      <c r="CAG28" s="613">
        <f t="shared" ref="CAG28" si="1053">CAE$28*$C$28</f>
        <v>523400403.04129744</v>
      </c>
      <c r="CAI28" s="613">
        <f t="shared" ref="CAI28" si="1054">CAG$28*$C$28</f>
        <v>528634407.07171041</v>
      </c>
      <c r="CAK28" s="613">
        <f t="shared" ref="CAK28" si="1055">CAI$28*$C$28</f>
        <v>533920751.1424275</v>
      </c>
      <c r="CAM28" s="613">
        <f t="shared" ref="CAM28" si="1056">CAK$28*$C$28</f>
        <v>539259958.65385175</v>
      </c>
      <c r="CAO28" s="613">
        <f t="shared" ref="CAO28" si="1057">CAM$28*$C$28</f>
        <v>544652558.2403903</v>
      </c>
      <c r="CAQ28" s="613">
        <f t="shared" ref="CAQ28" si="1058">CAO$28*$C$28</f>
        <v>550099083.8227942</v>
      </c>
      <c r="CAS28" s="613">
        <f t="shared" ref="CAS28" si="1059">CAQ$28*$C$28</f>
        <v>555600074.66102219</v>
      </c>
      <c r="CAU28" s="613">
        <f t="shared" ref="CAU28" si="1060">CAS$28*$C$28</f>
        <v>561156075.40763247</v>
      </c>
      <c r="CAW28" s="613">
        <f t="shared" ref="CAW28" si="1061">CAU$28*$C$28</f>
        <v>566767636.16170883</v>
      </c>
      <c r="CAY28" s="613">
        <f t="shared" ref="CAY28" si="1062">CAW$28*$C$28</f>
        <v>572435312.52332592</v>
      </c>
      <c r="CBA28" s="613">
        <f t="shared" ref="CBA28" si="1063">CAY$28*$C$28</f>
        <v>578159665.64855921</v>
      </c>
      <c r="CBC28" s="613">
        <f t="shared" ref="CBC28" si="1064">CBA$28*$C$28</f>
        <v>583941262.30504477</v>
      </c>
      <c r="CBE28" s="613">
        <f t="shared" ref="CBE28" si="1065">CBC$28*$C$28</f>
        <v>589780674.92809522</v>
      </c>
      <c r="CBG28" s="613">
        <f t="shared" ref="CBG28" si="1066">CBE$28*$C$28</f>
        <v>595678481.67737615</v>
      </c>
      <c r="CBI28" s="613">
        <f t="shared" ref="CBI28" si="1067">CBG$28*$C$28</f>
        <v>601635266.49414992</v>
      </c>
      <c r="CBK28" s="613">
        <f t="shared" ref="CBK28" si="1068">CBI$28*$C$28</f>
        <v>607651619.15909147</v>
      </c>
      <c r="CBM28" s="613">
        <f t="shared" ref="CBM28" si="1069">CBK$28*$C$28</f>
        <v>613728135.35068238</v>
      </c>
      <c r="CBO28" s="613">
        <f t="shared" ref="CBO28" si="1070">CBM$28*$C$28</f>
        <v>619865416.70418918</v>
      </c>
      <c r="CBQ28" s="613">
        <f t="shared" ref="CBQ28" si="1071">CBO$28*$C$28</f>
        <v>626064070.87123108</v>
      </c>
      <c r="CBS28" s="613">
        <f t="shared" ref="CBS28" si="1072">CBQ$28*$C$28</f>
        <v>632324711.57994342</v>
      </c>
      <c r="CBU28" s="613">
        <f t="shared" ref="CBU28" si="1073">CBS$28*$C$28</f>
        <v>638647958.69574285</v>
      </c>
      <c r="CBW28" s="613">
        <f t="shared" ref="CBW28" si="1074">CBU$28*$C$28</f>
        <v>645034438.2827003</v>
      </c>
      <c r="CBY28" s="613">
        <f t="shared" ref="CBY28" si="1075">CBW$28*$C$28</f>
        <v>651484782.66552734</v>
      </c>
      <c r="CCA28" s="613">
        <f t="shared" ref="CCA28" si="1076">CBY$28*$C$28</f>
        <v>657999630.49218261</v>
      </c>
      <c r="CCC28" s="613">
        <f t="shared" ref="CCC28" si="1077">CCA$28*$C$28</f>
        <v>664579626.79710448</v>
      </c>
      <c r="CCE28" s="613">
        <f t="shared" ref="CCE28" si="1078">CCC$28*$C$28</f>
        <v>671225423.06507552</v>
      </c>
      <c r="CCG28" s="613">
        <f t="shared" ref="CCG28" si="1079">CCE$28*$C$28</f>
        <v>677937677.2957263</v>
      </c>
      <c r="CCI28" s="613">
        <f t="shared" ref="CCI28" si="1080">CCG$28*$C$28</f>
        <v>684717054.06868362</v>
      </c>
      <c r="CCK28" s="613">
        <f t="shared" ref="CCK28" si="1081">CCI$28*$C$28</f>
        <v>691564224.60937047</v>
      </c>
      <c r="CCM28" s="613">
        <f t="shared" ref="CCM28" si="1082">CCK$28*$C$28</f>
        <v>698479866.85546422</v>
      </c>
      <c r="CCO28" s="613">
        <f t="shared" ref="CCO28" si="1083">CCM$28*$C$28</f>
        <v>705464665.52401888</v>
      </c>
      <c r="CCQ28" s="613">
        <f t="shared" ref="CCQ28" si="1084">CCO$28*$C$28</f>
        <v>712519312.17925906</v>
      </c>
      <c r="CCS28" s="613">
        <f t="shared" ref="CCS28" si="1085">CCQ$28*$C$28</f>
        <v>719644505.30105162</v>
      </c>
      <c r="CCU28" s="613">
        <f t="shared" ref="CCU28" si="1086">CCS$28*$C$28</f>
        <v>726840950.35406208</v>
      </c>
      <c r="CCW28" s="613">
        <f t="shared" ref="CCW28" si="1087">CCU$28*$C$28</f>
        <v>734109359.85760272</v>
      </c>
      <c r="CCY28" s="613">
        <f t="shared" ref="CCY28" si="1088">CCW$28*$C$28</f>
        <v>741450453.45617878</v>
      </c>
      <c r="CDA28" s="613">
        <f t="shared" ref="CDA28" si="1089">CCY$28*$C$28</f>
        <v>748864957.99074054</v>
      </c>
      <c r="CDC28" s="613">
        <f t="shared" ref="CDC28" si="1090">CDA$28*$C$28</f>
        <v>756353607.57064795</v>
      </c>
      <c r="CDE28" s="613">
        <f t="shared" ref="CDE28" si="1091">CDC$28*$C$28</f>
        <v>763917143.64635444</v>
      </c>
      <c r="CDG28" s="613">
        <f t="shared" ref="CDG28" si="1092">CDE$28*$C$28</f>
        <v>771556315.08281803</v>
      </c>
      <c r="CDI28" s="613">
        <f t="shared" ref="CDI28" si="1093">CDG$28*$C$28</f>
        <v>779271878.23364627</v>
      </c>
      <c r="CDK28" s="613">
        <f t="shared" ref="CDK28" si="1094">CDI$28*$C$28</f>
        <v>787064597.01598275</v>
      </c>
      <c r="CDM28" s="613">
        <f t="shared" ref="CDM28" si="1095">CDK$28*$C$28</f>
        <v>794935242.98614264</v>
      </c>
      <c r="CDO28" s="613">
        <f t="shared" ref="CDO28" si="1096">CDM$28*$C$28</f>
        <v>802884595.41600406</v>
      </c>
      <c r="CDQ28" s="613">
        <f t="shared" ref="CDQ28" si="1097">CDO$28*$C$28</f>
        <v>810913441.37016416</v>
      </c>
      <c r="CDS28" s="613">
        <f t="shared" ref="CDS28" si="1098">CDQ$28*$C$28</f>
        <v>819022575.78386581</v>
      </c>
      <c r="CDU28" s="613">
        <f t="shared" ref="CDU28" si="1099">CDS$28*$C$28</f>
        <v>827212801.54170442</v>
      </c>
      <c r="CDW28" s="613">
        <f t="shared" ref="CDW28" si="1100">CDU$28*$C$28</f>
        <v>835484929.55712152</v>
      </c>
      <c r="CDY28" s="613">
        <f t="shared" ref="CDY28" si="1101">CDW$28*$C$28</f>
        <v>843839778.85269272</v>
      </c>
      <c r="CEA28" s="613">
        <f t="shared" ref="CEA28" si="1102">CDY$28*$C$28</f>
        <v>852278176.64121962</v>
      </c>
      <c r="CEC28" s="613">
        <f t="shared" ref="CEC28" si="1103">CEA$28*$C$28</f>
        <v>860800958.40763187</v>
      </c>
      <c r="CEE28" s="613">
        <f t="shared" ref="CEE28" si="1104">CEC$28*$C$28</f>
        <v>869408967.99170816</v>
      </c>
      <c r="CEG28" s="613">
        <f t="shared" ref="CEG28" si="1105">CEE$28*$C$28</f>
        <v>878103057.67162526</v>
      </c>
      <c r="CEI28" s="613">
        <f t="shared" ref="CEI28" si="1106">CEG$28*$C$28</f>
        <v>886884088.24834156</v>
      </c>
      <c r="CEK28" s="613">
        <f t="shared" ref="CEK28" si="1107">CEI$28*$C$28</f>
        <v>895752929.13082504</v>
      </c>
      <c r="CEM28" s="613">
        <f t="shared" ref="CEM28" si="1108">CEK$28*$C$28</f>
        <v>904710458.42213333</v>
      </c>
      <c r="CEO28" s="613">
        <f t="shared" ref="CEO28" si="1109">CEM$28*$C$28</f>
        <v>913757563.00635469</v>
      </c>
      <c r="CEQ28" s="613">
        <f t="shared" ref="CEQ28" si="1110">CEO$28*$C$28</f>
        <v>922895138.63641822</v>
      </c>
      <c r="CES28" s="613">
        <f t="shared" ref="CES28" si="1111">CEQ$28*$C$28</f>
        <v>932124090.02278244</v>
      </c>
      <c r="CEU28" s="613">
        <f t="shared" ref="CEU28" si="1112">CES$28*$C$28</f>
        <v>941445330.92301023</v>
      </c>
      <c r="CEW28" s="613">
        <f t="shared" ref="CEW28" si="1113">CEU$28*$C$28</f>
        <v>950859784.23224032</v>
      </c>
      <c r="CEY28" s="613">
        <f t="shared" ref="CEY28" si="1114">CEW$28*$C$28</f>
        <v>960368382.07456279</v>
      </c>
      <c r="CFA28" s="613">
        <f t="shared" ref="CFA28" si="1115">CEY$28*$C$28</f>
        <v>969972065.89530838</v>
      </c>
      <c r="CFC28" s="613">
        <f t="shared" ref="CFC28" si="1116">CFA$28*$C$28</f>
        <v>979671786.55426145</v>
      </c>
      <c r="CFE28" s="613">
        <f t="shared" ref="CFE28" si="1117">CFC$28*$C$28</f>
        <v>989468504.4198041</v>
      </c>
      <c r="CFG28" s="613">
        <f t="shared" ref="CFG28" si="1118">CFE$28*$C$28</f>
        <v>999363189.46400213</v>
      </c>
      <c r="CFI28" s="613">
        <f t="shared" ref="CFI28" si="1119">CFG$28*$C$28</f>
        <v>1009356821.3586422</v>
      </c>
      <c r="CFK28" s="613">
        <f t="shared" ref="CFK28" si="1120">CFI$28*$C$28</f>
        <v>1019450389.5722287</v>
      </c>
      <c r="CFM28" s="613">
        <f t="shared" ref="CFM28" si="1121">CFK$28*$C$28</f>
        <v>1029644893.4679509</v>
      </c>
      <c r="CFO28" s="613">
        <f t="shared" ref="CFO28" si="1122">CFM$28*$C$28</f>
        <v>1039941342.4026304</v>
      </c>
      <c r="CFQ28" s="613">
        <f t="shared" ref="CFQ28" si="1123">CFO$28*$C$28</f>
        <v>1050340755.8266568</v>
      </c>
      <c r="CFS28" s="613">
        <f t="shared" ref="CFS28" si="1124">CFQ$28*$C$28</f>
        <v>1060844163.3849233</v>
      </c>
      <c r="CFU28" s="613">
        <f t="shared" ref="CFU28" si="1125">CFS$28*$C$28</f>
        <v>1071452605.0187726</v>
      </c>
      <c r="CFW28" s="613">
        <f t="shared" ref="CFW28" si="1126">CFU$28*$C$28</f>
        <v>1082167131.0689604</v>
      </c>
      <c r="CFY28" s="613">
        <f t="shared" ref="CFY28" si="1127">CFW$28*$C$28</f>
        <v>1092988802.3796501</v>
      </c>
      <c r="CGA28" s="613">
        <f t="shared" ref="CGA28" si="1128">CFY$28*$C$28</f>
        <v>1103918690.4034467</v>
      </c>
      <c r="CGC28" s="613">
        <f t="shared" ref="CGC28" si="1129">CGA$28*$C$28</f>
        <v>1114957877.3074811</v>
      </c>
      <c r="CGE28" s="613">
        <f t="shared" ref="CGE28" si="1130">CGC$28*$C$28</f>
        <v>1126107456.0805559</v>
      </c>
      <c r="CGG28" s="613">
        <f t="shared" ref="CGG28" si="1131">CGE$28*$C$28</f>
        <v>1137368530.6413615</v>
      </c>
      <c r="CGI28" s="613">
        <f t="shared" ref="CGI28" si="1132">CGG$28*$C$28</f>
        <v>1148742215.9477751</v>
      </c>
      <c r="CGK28" s="613">
        <f t="shared" ref="CGK28" si="1133">CGI$28*$C$28</f>
        <v>1160229638.1072528</v>
      </c>
      <c r="CGM28" s="613">
        <f t="shared" ref="CGM28" si="1134">CGK$28*$C$28</f>
        <v>1171831934.4883254</v>
      </c>
      <c r="CGO28" s="613">
        <f t="shared" ref="CGO28" si="1135">CGM$28*$C$28</f>
        <v>1183550253.8332086</v>
      </c>
      <c r="CGQ28" s="613">
        <f t="shared" ref="CGQ28" si="1136">CGO$28*$C$28</f>
        <v>1195385756.3715405</v>
      </c>
      <c r="CGS28" s="613">
        <f t="shared" ref="CGS28" si="1137">CGQ$28*$C$28</f>
        <v>1207339613.935256</v>
      </c>
      <c r="CGU28" s="613">
        <f t="shared" ref="CGU28" si="1138">CGS$28*$C$28</f>
        <v>1219413010.0746086</v>
      </c>
      <c r="CGW28" s="613">
        <f t="shared" ref="CGW28" si="1139">CGU$28*$C$28</f>
        <v>1231607140.1753547</v>
      </c>
      <c r="CGY28" s="613">
        <f t="shared" ref="CGY28" si="1140">CGW$28*$C$28</f>
        <v>1243923211.5771084</v>
      </c>
      <c r="CHA28" s="613">
        <f t="shared" ref="CHA28" si="1141">CGY$28*$C$28</f>
        <v>1256362443.6928794</v>
      </c>
      <c r="CHC28" s="613">
        <f t="shared" ref="CHC28" si="1142">CHA$28*$C$28</f>
        <v>1268926068.1298082</v>
      </c>
      <c r="CHE28" s="613">
        <f t="shared" ref="CHE28" si="1143">CHC$28*$C$28</f>
        <v>1281615328.8111062</v>
      </c>
      <c r="CHG28" s="613">
        <f t="shared" ref="CHG28" si="1144">CHE$28*$C$28</f>
        <v>1294431482.0992172</v>
      </c>
      <c r="CHI28" s="613">
        <f t="shared" ref="CHI28" si="1145">CHG$28*$C$28</f>
        <v>1307375796.9202094</v>
      </c>
      <c r="CHK28" s="613">
        <f t="shared" ref="CHK28" si="1146">CHI$28*$C$28</f>
        <v>1320449554.8894114</v>
      </c>
      <c r="CHM28" s="613">
        <f t="shared" ref="CHM28" si="1147">CHK$28*$C$28</f>
        <v>1333654050.4383056</v>
      </c>
      <c r="CHO28" s="613">
        <f t="shared" ref="CHO28" si="1148">CHM$28*$C$28</f>
        <v>1346990590.9426887</v>
      </c>
      <c r="CHQ28" s="613">
        <f t="shared" ref="CHQ28" si="1149">CHO$28*$C$28</f>
        <v>1360460496.8521156</v>
      </c>
      <c r="CHS28" s="613">
        <f t="shared" ref="CHS28" si="1150">CHQ$28*$C$28</f>
        <v>1374065101.8206367</v>
      </c>
      <c r="CHU28" s="613">
        <f t="shared" ref="CHU28" si="1151">CHS$28*$C$28</f>
        <v>1387805752.8388431</v>
      </c>
      <c r="CHW28" s="613">
        <f t="shared" ref="CHW28" si="1152">CHU$28*$C$28</f>
        <v>1401683810.3672316</v>
      </c>
      <c r="CHY28" s="613">
        <f t="shared" ref="CHY28" si="1153">CHW$28*$C$28</f>
        <v>1415700648.4709039</v>
      </c>
      <c r="CIA28" s="613">
        <f t="shared" ref="CIA28" si="1154">CHY$28*$C$28</f>
        <v>1429857654.9556129</v>
      </c>
      <c r="CIC28" s="613">
        <f t="shared" ref="CIC28" si="1155">CIA$28*$C$28</f>
        <v>1444156231.5051692</v>
      </c>
      <c r="CIE28" s="613">
        <f t="shared" ref="CIE28" si="1156">CIC$28*$C$28</f>
        <v>1458597793.8202209</v>
      </c>
      <c r="CIG28" s="613">
        <f t="shared" ref="CIG28" si="1157">CIE$28*$C$28</f>
        <v>1473183771.7584231</v>
      </c>
      <c r="CII28" s="613">
        <f t="shared" ref="CII28" si="1158">CIG$28*$C$28</f>
        <v>1487915609.4760072</v>
      </c>
      <c r="CIK28" s="613">
        <f t="shared" ref="CIK28" si="1159">CII$28*$C$28</f>
        <v>1502794765.5707674</v>
      </c>
      <c r="CIM28" s="613">
        <f t="shared" ref="CIM28" si="1160">CIK$28*$C$28</f>
        <v>1517822713.226475</v>
      </c>
      <c r="CIO28" s="613">
        <f t="shared" ref="CIO28" si="1161">CIM$28*$C$28</f>
        <v>1533000940.3587399</v>
      </c>
      <c r="CIQ28" s="613">
        <f t="shared" ref="CIQ28" si="1162">CIO$28*$C$28</f>
        <v>1548330949.7623272</v>
      </c>
      <c r="CIS28" s="613">
        <f t="shared" ref="CIS28" si="1163">CIQ$28*$C$28</f>
        <v>1563814259.2599504</v>
      </c>
      <c r="CIU28" s="613">
        <f t="shared" ref="CIU28" si="1164">CIS$28*$C$28</f>
        <v>1579452401.85255</v>
      </c>
      <c r="CIW28" s="613">
        <f t="shared" ref="CIW28" si="1165">CIU$28*$C$28</f>
        <v>1595246925.8710756</v>
      </c>
      <c r="CIY28" s="613">
        <f t="shared" ref="CIY28" si="1166">CIW$28*$C$28</f>
        <v>1611199395.1297865</v>
      </c>
      <c r="CJA28" s="613">
        <f t="shared" ref="CJA28" si="1167">CIY$28*$C$28</f>
        <v>1627311389.0810843</v>
      </c>
      <c r="CJC28" s="613">
        <f t="shared" ref="CJC28" si="1168">CJA$28*$C$28</f>
        <v>1643584502.9718952</v>
      </c>
      <c r="CJE28" s="613">
        <f t="shared" ref="CJE28" si="1169">CJC$28*$C$28</f>
        <v>1660020348.0016141</v>
      </c>
      <c r="CJG28" s="613">
        <f t="shared" ref="CJG28" si="1170">CJE$28*$C$28</f>
        <v>1676620551.4816303</v>
      </c>
      <c r="CJI28" s="613">
        <f t="shared" ref="CJI28" si="1171">CJG$28*$C$28</f>
        <v>1693386756.9964466</v>
      </c>
      <c r="CJK28" s="613">
        <f t="shared" ref="CJK28" si="1172">CJI$28*$C$28</f>
        <v>1710320624.566411</v>
      </c>
      <c r="CJM28" s="613">
        <f t="shared" ref="CJM28" si="1173">CJK$28*$C$28</f>
        <v>1727423830.8120751</v>
      </c>
      <c r="CJO28" s="613">
        <f t="shared" ref="CJO28" si="1174">CJM$28*$C$28</f>
        <v>1744698069.1201959</v>
      </c>
      <c r="CJQ28" s="613">
        <f t="shared" ref="CJQ28" si="1175">CJO$28*$C$28</f>
        <v>1762145049.8113978</v>
      </c>
      <c r="CJS28" s="613">
        <f t="shared" ref="CJS28" si="1176">CJQ$28*$C$28</f>
        <v>1779766500.3095119</v>
      </c>
      <c r="CJU28" s="613">
        <f t="shared" ref="CJU28" si="1177">CJS$28*$C$28</f>
        <v>1797564165.312607</v>
      </c>
      <c r="CJW28" s="613">
        <f t="shared" ref="CJW28" si="1178">CJU$28*$C$28</f>
        <v>1815539806.9657331</v>
      </c>
      <c r="CJY28" s="613">
        <f t="shared" ref="CJY28" si="1179">CJW$28*$C$28</f>
        <v>1833695205.0353904</v>
      </c>
      <c r="CKA28" s="613">
        <f t="shared" ref="CKA28" si="1180">CJY$28*$C$28</f>
        <v>1852032157.0857444</v>
      </c>
      <c r="CKC28" s="613">
        <f t="shared" ref="CKC28" si="1181">CKA$28*$C$28</f>
        <v>1870552478.6566019</v>
      </c>
      <c r="CKE28" s="613">
        <f t="shared" ref="CKE28" si="1182">CKC$28*$C$28</f>
        <v>1889258003.4431679</v>
      </c>
      <c r="CKG28" s="613">
        <f t="shared" ref="CKG28" si="1183">CKE$28*$C$28</f>
        <v>1908150583.4775996</v>
      </c>
      <c r="CKI28" s="613">
        <f t="shared" ref="CKI28" si="1184">CKG$28*$C$28</f>
        <v>1927232089.3123755</v>
      </c>
      <c r="CKK28" s="613">
        <f t="shared" ref="CKK28" si="1185">CKI$28*$C$28</f>
        <v>1946504410.2054994</v>
      </c>
      <c r="CKM28" s="613">
        <f t="shared" ref="CKM28" si="1186">CKK$28*$C$28</f>
        <v>1965969454.3075545</v>
      </c>
      <c r="CKO28" s="613">
        <f t="shared" ref="CKO28" si="1187">CKM$28*$C$28</f>
        <v>1985629148.85063</v>
      </c>
      <c r="CKQ28" s="613">
        <f t="shared" ref="CKQ28" si="1188">CKO$28*$C$28</f>
        <v>2005485440.3391364</v>
      </c>
      <c r="CKS28" s="613">
        <f t="shared" ref="CKS28" si="1189">CKQ$28*$C$28</f>
        <v>2025540294.7425277</v>
      </c>
      <c r="CKU28" s="613">
        <f t="shared" ref="CKU28" si="1190">CKS$28*$C$28</f>
        <v>2045795697.6899531</v>
      </c>
      <c r="CKW28" s="613">
        <f t="shared" ref="CKW28" si="1191">CKU$28*$C$28</f>
        <v>2066253654.6668527</v>
      </c>
      <c r="CKY28" s="613">
        <f t="shared" ref="CKY28" si="1192">CKW$28*$C$28</f>
        <v>2086916191.2135212</v>
      </c>
      <c r="CLA28" s="613">
        <f t="shared" ref="CLA28" si="1193">CKY$28*$C$28</f>
        <v>2107785353.1256564</v>
      </c>
      <c r="CLC28" s="613">
        <f t="shared" ref="CLC28" si="1194">CLA$28*$C$28</f>
        <v>2128863206.656913</v>
      </c>
      <c r="CLE28" s="613">
        <f t="shared" ref="CLE28" si="1195">CLC$28*$C$28</f>
        <v>2150151838.7234821</v>
      </c>
      <c r="CLG28" s="613">
        <f t="shared" ref="CLG28" si="1196">CLE$28*$C$28</f>
        <v>2171653357.1107168</v>
      </c>
      <c r="CLI28" s="613">
        <f t="shared" ref="CLI28" si="1197">CLG$28*$C$28</f>
        <v>2193369890.6818242</v>
      </c>
      <c r="CLK28" s="613">
        <f t="shared" ref="CLK28" si="1198">CLI$28*$C$28</f>
        <v>2215303589.5886426</v>
      </c>
      <c r="CLM28" s="613">
        <f t="shared" ref="CLM28" si="1199">CLK$28*$C$28</f>
        <v>2237456625.484529</v>
      </c>
      <c r="CLO28" s="613">
        <f t="shared" ref="CLO28" si="1200">CLM$28*$C$28</f>
        <v>2259831191.7393742</v>
      </c>
      <c r="CLQ28" s="613">
        <f t="shared" ref="CLQ28" si="1201">CLO$28*$C$28</f>
        <v>2282429503.6567678</v>
      </c>
      <c r="CLS28" s="613">
        <f t="shared" ref="CLS28" si="1202">CLQ$28*$C$28</f>
        <v>2305253798.6933355</v>
      </c>
      <c r="CLU28" s="613">
        <f t="shared" ref="CLU28" si="1203">CLS$28*$C$28</f>
        <v>2328306336.6802688</v>
      </c>
      <c r="CLW28" s="613">
        <f t="shared" ref="CLW28" si="1204">CLU$28*$C$28</f>
        <v>2351589400.0470715</v>
      </c>
      <c r="CLY28" s="613">
        <f t="shared" ref="CLY28" si="1205">CLW$28*$C$28</f>
        <v>2375105294.0475421</v>
      </c>
      <c r="CMA28" s="613">
        <f t="shared" ref="CMA28" si="1206">CLY$28*$C$28</f>
        <v>2398856346.9880176</v>
      </c>
      <c r="CMC28" s="613">
        <f t="shared" ref="CMC28" si="1207">CMA$28*$C$28</f>
        <v>2422844910.4578977</v>
      </c>
      <c r="CME28" s="613">
        <f t="shared" ref="CME28" si="1208">CMC$28*$C$28</f>
        <v>2447073359.5624766</v>
      </c>
      <c r="CMG28" s="613">
        <f t="shared" ref="CMG28" si="1209">CME$28*$C$28</f>
        <v>2471544093.1581016</v>
      </c>
      <c r="CMI28" s="613">
        <f t="shared" ref="CMI28" si="1210">CMG$28*$C$28</f>
        <v>2496259534.0896826</v>
      </c>
      <c r="CMK28" s="613">
        <f t="shared" ref="CMK28" si="1211">CMI$28*$C$28</f>
        <v>2521222129.4305797</v>
      </c>
      <c r="CMM28" s="613">
        <f t="shared" ref="CMM28" si="1212">CMK$28*$C$28</f>
        <v>2546434350.7248855</v>
      </c>
      <c r="CMO28" s="613">
        <f t="shared" ref="CMO28" si="1213">CMM$28*$C$28</f>
        <v>2571898694.2321343</v>
      </c>
      <c r="CMQ28" s="613">
        <f t="shared" ref="CMQ28" si="1214">CMO$28*$C$28</f>
        <v>2597617681.1744556</v>
      </c>
      <c r="CMS28" s="613">
        <f t="shared" ref="CMS28" si="1215">CMQ$28*$C$28</f>
        <v>2623593857.9862003</v>
      </c>
      <c r="CMU28" s="613">
        <f t="shared" ref="CMU28" si="1216">CMS$28*$C$28</f>
        <v>2649829796.5660625</v>
      </c>
      <c r="CMW28" s="613">
        <f t="shared" ref="CMW28" si="1217">CMU$28*$C$28</f>
        <v>2676328094.531723</v>
      </c>
      <c r="CMY28" s="613">
        <f t="shared" ref="CMY28" si="1218">CMW$28*$C$28</f>
        <v>2703091375.4770403</v>
      </c>
      <c r="CNA28" s="613">
        <f t="shared" ref="CNA28" si="1219">CMY$28*$C$28</f>
        <v>2730122289.2318106</v>
      </c>
      <c r="CNC28" s="613">
        <f t="shared" ref="CNC28" si="1220">CNA$28*$C$28</f>
        <v>2757423512.1241288</v>
      </c>
      <c r="CNE28" s="613">
        <f t="shared" ref="CNE28" si="1221">CNC$28*$C$28</f>
        <v>2784997747.2453699</v>
      </c>
      <c r="CNG28" s="613">
        <f t="shared" ref="CNG28" si="1222">CNE$28*$C$28</f>
        <v>2812847724.7178235</v>
      </c>
      <c r="CNI28" s="613">
        <f t="shared" ref="CNI28" si="1223">CNG$28*$C$28</f>
        <v>2840976201.9650016</v>
      </c>
      <c r="CNK28" s="613">
        <f t="shared" ref="CNK28" si="1224">CNI$28*$C$28</f>
        <v>2869385963.9846516</v>
      </c>
      <c r="CNM28" s="613">
        <f t="shared" ref="CNM28" si="1225">CNK$28*$C$28</f>
        <v>2898079823.6244979</v>
      </c>
      <c r="CNO28" s="613">
        <f t="shared" ref="CNO28" si="1226">CNM$28*$C$28</f>
        <v>2927060621.860743</v>
      </c>
      <c r="CNQ28" s="613">
        <f t="shared" ref="CNQ28" si="1227">CNO$28*$C$28</f>
        <v>2956331228.0793505</v>
      </c>
      <c r="CNS28" s="613">
        <f t="shared" ref="CNS28" si="1228">CNQ$28*$C$28</f>
        <v>2985894540.3601441</v>
      </c>
      <c r="CNU28" s="613">
        <f t="shared" ref="CNU28" si="1229">CNS$28*$C$28</f>
        <v>3015753485.7637458</v>
      </c>
      <c r="CNW28" s="613">
        <f t="shared" ref="CNW28" si="1230">CNU$28*$C$28</f>
        <v>3045911020.6213832</v>
      </c>
      <c r="CNY28" s="613">
        <f t="shared" ref="CNY28" si="1231">CNW$28*$C$28</f>
        <v>3076370130.8275971</v>
      </c>
      <c r="COA28" s="613">
        <f t="shared" ref="COA28" si="1232">CNY$28*$C$28</f>
        <v>3107133832.1358733</v>
      </c>
      <c r="COC28" s="613">
        <f t="shared" ref="COC28" si="1233">COA$28*$C$28</f>
        <v>3138205170.457232</v>
      </c>
      <c r="COE28" s="613">
        <f t="shared" ref="COE28" si="1234">COC$28*$C$28</f>
        <v>3169587222.1618042</v>
      </c>
      <c r="COG28" s="613">
        <f t="shared" ref="COG28" si="1235">COE$28*$C$28</f>
        <v>3201283094.3834224</v>
      </c>
      <c r="COI28" s="613">
        <f t="shared" ref="COI28" si="1236">COG$28*$C$28</f>
        <v>3233295925.3272567</v>
      </c>
      <c r="COK28" s="613">
        <f t="shared" ref="COK28" si="1237">COI$28*$C$28</f>
        <v>3265628884.5805292</v>
      </c>
      <c r="COM28" s="613">
        <f t="shared" ref="COM28" si="1238">COK$28*$C$28</f>
        <v>3298285173.4263344</v>
      </c>
      <c r="COO28" s="613">
        <f t="shared" ref="COO28" si="1239">COM$28*$C$28</f>
        <v>3331268025.1605978</v>
      </c>
      <c r="COQ28" s="613">
        <f t="shared" ref="COQ28" si="1240">COO$28*$C$28</f>
        <v>3364580705.4122038</v>
      </c>
      <c r="COS28" s="613">
        <f t="shared" ref="COS28" si="1241">COQ$28*$C$28</f>
        <v>3398226512.4663258</v>
      </c>
      <c r="COU28" s="613">
        <f t="shared" ref="COU28" si="1242">COS$28*$C$28</f>
        <v>3432208777.5909891</v>
      </c>
      <c r="COW28" s="613">
        <f t="shared" ref="COW28" si="1243">COU$28*$C$28</f>
        <v>3466530865.366899</v>
      </c>
      <c r="COY28" s="613">
        <f t="shared" ref="COY28" si="1244">COW$28*$C$28</f>
        <v>3501196174.0205679</v>
      </c>
      <c r="CPA28" s="613">
        <f t="shared" ref="CPA28" si="1245">COY$28*$C$28</f>
        <v>3536208135.7607737</v>
      </c>
      <c r="CPC28" s="613">
        <f t="shared" ref="CPC28" si="1246">CPA$28*$C$28</f>
        <v>3571570217.1183815</v>
      </c>
      <c r="CPE28" s="613">
        <f t="shared" ref="CPE28" si="1247">CPC$28*$C$28</f>
        <v>3607285919.2895656</v>
      </c>
      <c r="CPG28" s="613">
        <f t="shared" ref="CPG28" si="1248">CPE$28*$C$28</f>
        <v>3643358778.4824615</v>
      </c>
      <c r="CPI28" s="613">
        <f t="shared" ref="CPI28" si="1249">CPG$28*$C$28</f>
        <v>3679792366.2672863</v>
      </c>
      <c r="CPK28" s="613">
        <f t="shared" ref="CPK28" si="1250">CPI$28*$C$28</f>
        <v>3716590289.9299593</v>
      </c>
      <c r="CPM28" s="613">
        <f t="shared" ref="CPM28" si="1251">CPK$28*$C$28</f>
        <v>3753756192.8292589</v>
      </c>
      <c r="CPO28" s="613">
        <f t="shared" ref="CPO28" si="1252">CPM$28*$C$28</f>
        <v>3791293754.7575517</v>
      </c>
      <c r="CPQ28" s="613">
        <f t="shared" ref="CPQ28" si="1253">CPO$28*$C$28</f>
        <v>3829206692.3051271</v>
      </c>
      <c r="CPS28" s="613">
        <f t="shared" ref="CPS28" si="1254">CPQ$28*$C$28</f>
        <v>3867498759.2281785</v>
      </c>
      <c r="CPU28" s="613">
        <f t="shared" ref="CPU28" si="1255">CPS$28*$C$28</f>
        <v>3906173746.8204603</v>
      </c>
      <c r="CPW28" s="613">
        <f t="shared" ref="CPW28" si="1256">CPU$28*$C$28</f>
        <v>3945235484.2886648</v>
      </c>
      <c r="CPY28" s="613">
        <f t="shared" ref="CPY28" si="1257">CPW$28*$C$28</f>
        <v>3984687839.1315513</v>
      </c>
      <c r="CQA28" s="613">
        <f t="shared" ref="CQA28" si="1258">CPY$28*$C$28</f>
        <v>4024534717.5228667</v>
      </c>
      <c r="CQC28" s="613">
        <f t="shared" ref="CQC28" si="1259">CQA$28*$C$28</f>
        <v>4064780064.6980953</v>
      </c>
      <c r="CQE28" s="613">
        <f t="shared" ref="CQE28" si="1260">CQC$28*$C$28</f>
        <v>4105427865.3450761</v>
      </c>
      <c r="CQG28" s="613">
        <f t="shared" ref="CQG28" si="1261">CQE$28*$C$28</f>
        <v>4146482143.9985271</v>
      </c>
      <c r="CQI28" s="613">
        <f t="shared" ref="CQI28" si="1262">CQG$28*$C$28</f>
        <v>4187946965.4385123</v>
      </c>
      <c r="CQK28" s="613">
        <f t="shared" ref="CQK28" si="1263">CQI$28*$C$28</f>
        <v>4229826435.0928974</v>
      </c>
      <c r="CQM28" s="613">
        <f t="shared" ref="CQM28" si="1264">CQK$28*$C$28</f>
        <v>4272124699.4438262</v>
      </c>
      <c r="CQO28" s="613">
        <f t="shared" ref="CQO28" si="1265">CQM$28*$C$28</f>
        <v>4314845946.4382648</v>
      </c>
      <c r="CQQ28" s="613">
        <f t="shared" ref="CQQ28" si="1266">CQO$28*$C$28</f>
        <v>4357994405.902648</v>
      </c>
      <c r="CQS28" s="613">
        <f t="shared" ref="CQS28" si="1267">CQQ$28*$C$28</f>
        <v>4401574349.9616747</v>
      </c>
      <c r="CQU28" s="613">
        <f t="shared" ref="CQU28" si="1268">CQS$28*$C$28</f>
        <v>4445590093.4612913</v>
      </c>
      <c r="CQW28" s="613">
        <f t="shared" ref="CQW28" si="1269">CQU$28*$C$28</f>
        <v>4490045994.3959045</v>
      </c>
      <c r="CQY28" s="613">
        <f t="shared" ref="CQY28" si="1270">CQW$28*$C$28</f>
        <v>4534946454.3398638</v>
      </c>
      <c r="CRA28" s="613">
        <f t="shared" ref="CRA28" si="1271">CQY$28*$C$28</f>
        <v>4580295918.8832626</v>
      </c>
      <c r="CRC28" s="613">
        <f t="shared" ref="CRC28" si="1272">CRA$28*$C$28</f>
        <v>4626098878.0720949</v>
      </c>
      <c r="CRE28" s="613">
        <f t="shared" ref="CRE28" si="1273">CRC$28*$C$28</f>
        <v>4672359866.8528156</v>
      </c>
      <c r="CRG28" s="613">
        <f t="shared" ref="CRG28" si="1274">CRE$28*$C$28</f>
        <v>4719083465.5213442</v>
      </c>
      <c r="CRI28" s="613">
        <f t="shared" ref="CRI28" si="1275">CRG$28*$C$28</f>
        <v>4766274300.1765575</v>
      </c>
      <c r="CRK28" s="613">
        <f t="shared" ref="CRK28" si="1276">CRI$28*$C$28</f>
        <v>4813937043.1783228</v>
      </c>
      <c r="CRM28" s="613">
        <f t="shared" ref="CRM28" si="1277">CRK$28*$C$28</f>
        <v>4862076413.6101065</v>
      </c>
      <c r="CRO28" s="613">
        <f t="shared" ref="CRO28" si="1278">CRM$28*$C$28</f>
        <v>4910697177.7462072</v>
      </c>
      <c r="CRQ28" s="613">
        <f t="shared" ref="CRQ28" si="1279">CRO$28*$C$28</f>
        <v>4959804149.5236692</v>
      </c>
      <c r="CRS28" s="613">
        <f t="shared" ref="CRS28" si="1280">CRQ$28*$C$28</f>
        <v>5009402191.0189056</v>
      </c>
      <c r="CRU28" s="613">
        <f t="shared" ref="CRU28" si="1281">CRS$28*$C$28</f>
        <v>5059496212.9290943</v>
      </c>
      <c r="CRW28" s="613">
        <f t="shared" ref="CRW28" si="1282">CRU$28*$C$28</f>
        <v>5110091175.0583849</v>
      </c>
      <c r="CRY28" s="613">
        <f t="shared" ref="CRY28" si="1283">CRW$28*$C$28</f>
        <v>5161192086.8089685</v>
      </c>
      <c r="CSA28" s="613">
        <f t="shared" ref="CSA28" si="1284">CRY$28*$C$28</f>
        <v>5212804007.6770582</v>
      </c>
      <c r="CSC28" s="613">
        <f t="shared" ref="CSC28" si="1285">CSA$28*$C$28</f>
        <v>5264932047.753829</v>
      </c>
      <c r="CSE28" s="613">
        <f t="shared" ref="CSE28" si="1286">CSC$28*$C$28</f>
        <v>5317581368.2313671</v>
      </c>
      <c r="CSG28" s="613">
        <f t="shared" ref="CSG28" si="1287">CSE$28*$C$28</f>
        <v>5370757181.913681</v>
      </c>
      <c r="CSI28" s="613">
        <f t="shared" ref="CSI28" si="1288">CSG$28*$C$28</f>
        <v>5424464753.7328176</v>
      </c>
      <c r="CSK28" s="613">
        <f t="shared" ref="CSK28" si="1289">CSI$28*$C$28</f>
        <v>5478709401.2701454</v>
      </c>
      <c r="CSM28" s="613">
        <f t="shared" ref="CSM28" si="1290">CSK$28*$C$28</f>
        <v>5533496495.2828465</v>
      </c>
      <c r="CSO28" s="613">
        <f t="shared" ref="CSO28" si="1291">CSM$28*$C$28</f>
        <v>5588831460.2356749</v>
      </c>
      <c r="CSQ28" s="613">
        <f t="shared" ref="CSQ28" si="1292">CSO$28*$C$28</f>
        <v>5644719774.8380318</v>
      </c>
      <c r="CSS28" s="613">
        <f t="shared" ref="CSS28" si="1293">CSQ$28*$C$28</f>
        <v>5701166972.5864124</v>
      </c>
      <c r="CSU28" s="613">
        <f t="shared" ref="CSU28" si="1294">CSS$28*$C$28</f>
        <v>5758178642.3122768</v>
      </c>
      <c r="CSW28" s="613">
        <f t="shared" ref="CSW28" si="1295">CSU$28*$C$28</f>
        <v>5815760428.7353992</v>
      </c>
      <c r="CSY28" s="613">
        <f t="shared" ref="CSY28" si="1296">CSW$28*$C$28</f>
        <v>5873918033.0227537</v>
      </c>
      <c r="CTA28" s="613">
        <f t="shared" ref="CTA28" si="1297">CSY$28*$C$28</f>
        <v>5932657213.3529816</v>
      </c>
      <c r="CTC28" s="613">
        <f t="shared" ref="CTC28" si="1298">CTA$28*$C$28</f>
        <v>5991983785.4865112</v>
      </c>
      <c r="CTE28" s="613">
        <f t="shared" ref="CTE28" si="1299">CTC$28*$C$28</f>
        <v>6051903623.3413763</v>
      </c>
      <c r="CTG28" s="613">
        <f t="shared" ref="CTG28" si="1300">CTE$28*$C$28</f>
        <v>6112422659.57479</v>
      </c>
      <c r="CTI28" s="613">
        <f t="shared" ref="CTI28" si="1301">CTG$28*$C$28</f>
        <v>6173546886.1705379</v>
      </c>
      <c r="CTK28" s="613">
        <f t="shared" ref="CTK28" si="1302">CTI$28*$C$28</f>
        <v>6235282355.0322437</v>
      </c>
      <c r="CTM28" s="613">
        <f t="shared" ref="CTM28" si="1303">CTK$28*$C$28</f>
        <v>6297635178.5825663</v>
      </c>
      <c r="CTO28" s="613">
        <f t="shared" ref="CTO28" si="1304">CTM$28*$C$28</f>
        <v>6360611530.368392</v>
      </c>
      <c r="CTQ28" s="613">
        <f t="shared" ref="CTQ28" si="1305">CTO$28*$C$28</f>
        <v>6424217645.6720762</v>
      </c>
      <c r="CTS28" s="613">
        <f t="shared" ref="CTS28" si="1306">CTQ$28*$C$28</f>
        <v>6488459822.1287966</v>
      </c>
      <c r="CTU28" s="613">
        <f t="shared" ref="CTU28" si="1307">CTS$28*$C$28</f>
        <v>6553344420.3500843</v>
      </c>
      <c r="CTW28" s="613">
        <f t="shared" ref="CTW28" si="1308">CTU$28*$C$28</f>
        <v>6618877864.5535851</v>
      </c>
      <c r="CTY28" s="613">
        <f t="shared" ref="CTY28" si="1309">CTW$28*$C$28</f>
        <v>6685066643.1991205</v>
      </c>
      <c r="CUA28" s="613">
        <f t="shared" ref="CUA28" si="1310">CTY$28*$C$28</f>
        <v>6751917309.6311121</v>
      </c>
      <c r="CUC28" s="613">
        <f t="shared" ref="CUC28" si="1311">CUA$28*$C$28</f>
        <v>6819436482.7274237</v>
      </c>
      <c r="CUE28" s="613">
        <f t="shared" ref="CUE28" si="1312">CUC$28*$C$28</f>
        <v>6887630847.554698</v>
      </c>
      <c r="CUG28" s="613">
        <f t="shared" ref="CUG28" si="1313">CUE$28*$C$28</f>
        <v>6956507156.0302448</v>
      </c>
      <c r="CUI28" s="613">
        <f t="shared" ref="CUI28" si="1314">CUG$28*$C$28</f>
        <v>7026072227.5905476</v>
      </c>
      <c r="CUK28" s="613">
        <f t="shared" ref="CUK28" si="1315">CUI$28*$C$28</f>
        <v>7096332949.8664532</v>
      </c>
      <c r="CUM28" s="613">
        <f t="shared" ref="CUM28" si="1316">CUK$28*$C$28</f>
        <v>7167296279.365118</v>
      </c>
      <c r="CUO28" s="613">
        <f t="shared" ref="CUO28" si="1317">CUM$28*$C$28</f>
        <v>7238969242.1587696</v>
      </c>
      <c r="CUQ28" s="613">
        <f t="shared" ref="CUQ28" si="1318">CUO$28*$C$28</f>
        <v>7311358934.5803576</v>
      </c>
      <c r="CUS28" s="613">
        <f t="shared" ref="CUS28" si="1319">CUQ$28*$C$28</f>
        <v>7384472523.9261608</v>
      </c>
      <c r="CUU28" s="613">
        <f t="shared" ref="CUU28" si="1320">CUS$28*$C$28</f>
        <v>7458317249.1654224</v>
      </c>
      <c r="CUW28" s="613">
        <f t="shared" ref="CUW28" si="1321">CUU$28*$C$28</f>
        <v>7532900421.6570768</v>
      </c>
      <c r="CUY28" s="613">
        <f t="shared" ref="CUY28" si="1322">CUW$28*$C$28</f>
        <v>7608229425.8736477</v>
      </c>
      <c r="CVA28" s="613">
        <f t="shared" ref="CVA28" si="1323">CUY$28*$C$28</f>
        <v>7684311720.1323843</v>
      </c>
      <c r="CVC28" s="613">
        <f t="shared" ref="CVC28" si="1324">CVA$28*$C$28</f>
        <v>7761154837.3337078</v>
      </c>
      <c r="CVE28" s="613">
        <f t="shared" ref="CVE28" si="1325">CVC$28*$C$28</f>
        <v>7838766385.7070446</v>
      </c>
      <c r="CVG28" s="613">
        <f t="shared" ref="CVG28" si="1326">CVE$28*$C$28</f>
        <v>7917154049.5641155</v>
      </c>
      <c r="CVI28" s="613">
        <f t="shared" ref="CVI28" si="1327">CVG$28*$C$28</f>
        <v>7996325590.0597563</v>
      </c>
      <c r="CVK28" s="613">
        <f t="shared" ref="CVK28" si="1328">CVI$28*$C$28</f>
        <v>8076288845.9603539</v>
      </c>
      <c r="CVM28" s="613">
        <f t="shared" ref="CVM28" si="1329">CVK$28*$C$28</f>
        <v>8157051734.4199572</v>
      </c>
      <c r="CVO28" s="613">
        <f t="shared" ref="CVO28" si="1330">CVM$28*$C$28</f>
        <v>8238622251.7641563</v>
      </c>
      <c r="CVQ28" s="613">
        <f t="shared" ref="CVQ28" si="1331">CVO$28*$C$28</f>
        <v>8321008474.2817984</v>
      </c>
      <c r="CVS28" s="613">
        <f t="shared" ref="CVS28" si="1332">CVQ$28*$C$28</f>
        <v>8404218559.0246162</v>
      </c>
      <c r="CVU28" s="613">
        <f t="shared" ref="CVU28" si="1333">CVS$28*$C$28</f>
        <v>8488260744.6148624</v>
      </c>
      <c r="CVW28" s="613">
        <f t="shared" ref="CVW28" si="1334">CVU$28*$C$28</f>
        <v>8573143352.0610113</v>
      </c>
      <c r="CVY28" s="613">
        <f t="shared" ref="CVY28" si="1335">CVW$28*$C$28</f>
        <v>8658874785.5816212</v>
      </c>
      <c r="CWA28" s="613">
        <f t="shared" ref="CWA28" si="1336">CVY$28*$C$28</f>
        <v>8745463533.4374371</v>
      </c>
      <c r="CWC28" s="613">
        <f t="shared" ref="CWC28" si="1337">CWA$28*$C$28</f>
        <v>8832918168.7718124</v>
      </c>
      <c r="CWE28" s="613">
        <f t="shared" ref="CWE28" si="1338">CWC$28*$C$28</f>
        <v>8921247350.4595299</v>
      </c>
      <c r="CWG28" s="613">
        <f t="shared" ref="CWG28" si="1339">CWE$28*$C$28</f>
        <v>9010459823.9641247</v>
      </c>
      <c r="CWI28" s="613">
        <f t="shared" ref="CWI28" si="1340">CWG$28*$C$28</f>
        <v>9100564422.2037659</v>
      </c>
      <c r="CWK28" s="613">
        <f t="shared" ref="CWK28" si="1341">CWI$28*$C$28</f>
        <v>9191570066.4258041</v>
      </c>
      <c r="CWM28" s="613">
        <f t="shared" ref="CWM28" si="1342">CWK$28*$C$28</f>
        <v>9283485767.0900631</v>
      </c>
      <c r="CWO28" s="613">
        <f t="shared" ref="CWO28" si="1343">CWM$28*$C$28</f>
        <v>9376320624.7609634</v>
      </c>
      <c r="CWQ28" s="613">
        <f t="shared" ref="CWQ28" si="1344">CWO$28*$C$28</f>
        <v>9470083831.0085735</v>
      </c>
      <c r="CWS28" s="613">
        <f t="shared" ref="CWS28" si="1345">CWQ$28*$C$28</f>
        <v>9564784669.3186588</v>
      </c>
      <c r="CWU28" s="613">
        <f t="shared" ref="CWU28" si="1346">CWS$28*$C$28</f>
        <v>9660432516.0118446</v>
      </c>
      <c r="CWW28" s="613">
        <f t="shared" ref="CWW28" si="1347">CWU$28*$C$28</f>
        <v>9757036841.1719627</v>
      </c>
      <c r="CWY28" s="613">
        <f t="shared" ref="CWY28" si="1348">CWW$28*$C$28</f>
        <v>9854607209.583683</v>
      </c>
      <c r="CXA28" s="613">
        <f t="shared" ref="CXA28" si="1349">CWY$28*$C$28</f>
        <v>9953153281.6795197</v>
      </c>
      <c r="CXC28" s="613">
        <f t="shared" ref="CXC28" si="1350">CXA$28*$C$28</f>
        <v>10052684814.496315</v>
      </c>
      <c r="CXE28" s="613">
        <f t="shared" ref="CXE28" si="1351">CXC$28*$C$28</f>
        <v>10153211662.641277</v>
      </c>
      <c r="CXG28" s="613">
        <f t="shared" ref="CXG28" si="1352">CXE$28*$C$28</f>
        <v>10254743779.267691</v>
      </c>
      <c r="CXI28" s="613">
        <f t="shared" ref="CXI28" si="1353">CXG$28*$C$28</f>
        <v>10357291217.060368</v>
      </c>
      <c r="CXK28" s="613">
        <f t="shared" ref="CXK28" si="1354">CXI$28*$C$28</f>
        <v>10460864129.230972</v>
      </c>
      <c r="CXM28" s="613">
        <f t="shared" ref="CXM28" si="1355">CXK$28*$C$28</f>
        <v>10565472770.523283</v>
      </c>
      <c r="CXO28" s="613">
        <f t="shared" ref="CXO28" si="1356">CXM$28*$C$28</f>
        <v>10671127498.228516</v>
      </c>
      <c r="CXQ28" s="613">
        <f t="shared" ref="CXQ28" si="1357">CXO$28*$C$28</f>
        <v>10777838773.2108</v>
      </c>
      <c r="CXS28" s="613">
        <f t="shared" ref="CXS28" si="1358">CXQ$28*$C$28</f>
        <v>10885617160.942907</v>
      </c>
      <c r="CXU28" s="613">
        <f t="shared" ref="CXU28" si="1359">CXS$28*$C$28</f>
        <v>10994473332.552336</v>
      </c>
      <c r="CXW28" s="613">
        <f t="shared" ref="CXW28" si="1360">CXU$28*$C$28</f>
        <v>11104418065.877859</v>
      </c>
      <c r="CXY28" s="613">
        <f t="shared" ref="CXY28" si="1361">CXW$28*$C$28</f>
        <v>11215462246.536638</v>
      </c>
      <c r="CYA28" s="613">
        <f t="shared" ref="CYA28" si="1362">CXY$28*$C$28</f>
        <v>11327616869.002005</v>
      </c>
      <c r="CYC28" s="613">
        <f t="shared" ref="CYC28" si="1363">CYA$28*$C$28</f>
        <v>11440893037.692024</v>
      </c>
      <c r="CYE28" s="613">
        <f t="shared" ref="CYE28" si="1364">CYC$28*$C$28</f>
        <v>11555301968.068945</v>
      </c>
      <c r="CYG28" s="613">
        <f t="shared" ref="CYG28" si="1365">CYE$28*$C$28</f>
        <v>11670854987.749634</v>
      </c>
      <c r="CYI28" s="613">
        <f t="shared" ref="CYI28" si="1366">CYG$28*$C$28</f>
        <v>11787563537.627131</v>
      </c>
      <c r="CYK28" s="613">
        <f t="shared" ref="CYK28" si="1367">CYI$28*$C$28</f>
        <v>11905439173.003403</v>
      </c>
      <c r="CYM28" s="613">
        <f t="shared" ref="CYM28" si="1368">CYK$28*$C$28</f>
        <v>12024493564.733437</v>
      </c>
      <c r="CYO28" s="613">
        <f t="shared" ref="CYO28" si="1369">CYM$28*$C$28</f>
        <v>12144738500.380772</v>
      </c>
      <c r="CYQ28" s="613">
        <f t="shared" ref="CYQ28" si="1370">CYO$28*$C$28</f>
        <v>12266185885.384579</v>
      </c>
      <c r="CYS28" s="613">
        <f t="shared" ref="CYS28" si="1371">CYQ$28*$C$28</f>
        <v>12388847744.238424</v>
      </c>
      <c r="CYU28" s="613">
        <f t="shared" ref="CYU28" si="1372">CYS$28*$C$28</f>
        <v>12512736221.680809</v>
      </c>
      <c r="CYW28" s="613">
        <f t="shared" ref="CYW28" si="1373">CYU$28*$C$28</f>
        <v>12637863583.897617</v>
      </c>
      <c r="CYY28" s="613">
        <f t="shared" ref="CYY28" si="1374">CYW$28*$C$28</f>
        <v>12764242219.736593</v>
      </c>
      <c r="CZA28" s="613">
        <f t="shared" ref="CZA28" si="1375">CYY$28*$C$28</f>
        <v>12891884641.93396</v>
      </c>
      <c r="CZC28" s="613">
        <f t="shared" ref="CZC28" si="1376">CZA$28*$C$28</f>
        <v>13020803488.3533</v>
      </c>
      <c r="CZE28" s="613">
        <f t="shared" ref="CZE28" si="1377">CZC$28*$C$28</f>
        <v>13151011523.236834</v>
      </c>
      <c r="CZG28" s="613">
        <f t="shared" ref="CZG28" si="1378">CZE$28*$C$28</f>
        <v>13282521638.469202</v>
      </c>
      <c r="CZI28" s="613">
        <f t="shared" ref="CZI28" si="1379">CZG$28*$C$28</f>
        <v>13415346854.853893</v>
      </c>
      <c r="CZK28" s="613">
        <f t="shared" ref="CZK28" si="1380">CZI$28*$C$28</f>
        <v>13549500323.402431</v>
      </c>
      <c r="CZM28" s="613">
        <f t="shared" ref="CZM28" si="1381">CZK$28*$C$28</f>
        <v>13684995326.636456</v>
      </c>
      <c r="CZO28" s="613">
        <f t="shared" ref="CZO28" si="1382">CZM$28*$C$28</f>
        <v>13821845279.902821</v>
      </c>
      <c r="CZQ28" s="613">
        <f t="shared" ref="CZQ28" si="1383">CZO$28*$C$28</f>
        <v>13960063732.701849</v>
      </c>
      <c r="CZS28" s="613">
        <f t="shared" ref="CZS28" si="1384">CZQ$28*$C$28</f>
        <v>14099664370.028868</v>
      </c>
      <c r="CZU28" s="613">
        <f t="shared" ref="CZU28" si="1385">CZS$28*$C$28</f>
        <v>14240661013.729156</v>
      </c>
      <c r="CZW28" s="613">
        <f t="shared" ref="CZW28" si="1386">CZU$28*$C$28</f>
        <v>14383067623.866447</v>
      </c>
      <c r="CZY28" s="613">
        <f t="shared" ref="CZY28" si="1387">CZW$28*$C$28</f>
        <v>14526898300.105112</v>
      </c>
      <c r="DAA28" s="613">
        <f t="shared" ref="DAA28" si="1388">CZY$28*$C$28</f>
        <v>14672167283.106163</v>
      </c>
      <c r="DAC28" s="613">
        <f t="shared" ref="DAC28" si="1389">DAA$28*$C$28</f>
        <v>14818888955.937225</v>
      </c>
      <c r="DAE28" s="613">
        <f t="shared" ref="DAE28" si="1390">DAC$28*$C$28</f>
        <v>14967077845.496597</v>
      </c>
      <c r="DAG28" s="613">
        <f t="shared" ref="DAG28" si="1391">DAE$28*$C$28</f>
        <v>15116748623.951563</v>
      </c>
      <c r="DAI28" s="613">
        <f t="shared" ref="DAI28" si="1392">DAG$28*$C$28</f>
        <v>15267916110.191078</v>
      </c>
      <c r="DAK28" s="613">
        <f t="shared" ref="DAK28" si="1393">DAI$28*$C$28</f>
        <v>15420595271.29299</v>
      </c>
      <c r="DAM28" s="613">
        <f t="shared" ref="DAM28" si="1394">DAK$28*$C$28</f>
        <v>15574801224.00592</v>
      </c>
      <c r="DAO28" s="613">
        <f t="shared" ref="DAO28" si="1395">DAM$28*$C$28</f>
        <v>15730549236.245979</v>
      </c>
      <c r="DAQ28" s="613">
        <f t="shared" ref="DAQ28" si="1396">DAO$28*$C$28</f>
        <v>15887854728.608438</v>
      </c>
      <c r="DAS28" s="613">
        <f t="shared" ref="DAS28" si="1397">DAQ$28*$C$28</f>
        <v>16046733275.894524</v>
      </c>
      <c r="DAU28" s="613">
        <f t="shared" ref="DAU28" si="1398">DAS$28*$C$28</f>
        <v>16207200608.653469</v>
      </c>
      <c r="DAW28" s="613">
        <f t="shared" ref="DAW28" si="1399">DAU$28*$C$28</f>
        <v>16369272614.740004</v>
      </c>
      <c r="DAY28" s="613">
        <f t="shared" ref="DAY28" si="1400">DAW$28*$C$28</f>
        <v>16532965340.887403</v>
      </c>
      <c r="DBA28" s="613">
        <f t="shared" ref="DBA28" si="1401">DAY$28*$C$28</f>
        <v>16698294994.296278</v>
      </c>
      <c r="DBC28" s="613">
        <f t="shared" ref="DBC28" si="1402">DBA$28*$C$28</f>
        <v>16865277944.239241</v>
      </c>
      <c r="DBE28" s="613">
        <f t="shared" ref="DBE28" si="1403">DBC$28*$C$28</f>
        <v>17033930723.681633</v>
      </c>
      <c r="DBG28" s="613">
        <f t="shared" ref="DBG28" si="1404">DBE$28*$C$28</f>
        <v>17204270030.918449</v>
      </c>
      <c r="DBI28" s="613">
        <f t="shared" ref="DBI28" si="1405">DBG$28*$C$28</f>
        <v>17376312731.227634</v>
      </c>
      <c r="DBK28" s="613">
        <f t="shared" ref="DBK28" si="1406">DBI$28*$C$28</f>
        <v>17550075858.539909</v>
      </c>
      <c r="DBM28" s="613">
        <f t="shared" ref="DBM28" si="1407">DBK$28*$C$28</f>
        <v>17725576617.125309</v>
      </c>
      <c r="DBO28" s="613">
        <f t="shared" ref="DBO28" si="1408">DBM$28*$C$28</f>
        <v>17902832383.296562</v>
      </c>
      <c r="DBQ28" s="613">
        <f t="shared" ref="DBQ28" si="1409">DBO$28*$C$28</f>
        <v>18081860707.129528</v>
      </c>
      <c r="DBS28" s="613">
        <f t="shared" ref="DBS28" si="1410">DBQ$28*$C$28</f>
        <v>18262679314.200825</v>
      </c>
      <c r="DBU28" s="613">
        <f t="shared" ref="DBU28" si="1411">DBS$28*$C$28</f>
        <v>18445306107.342834</v>
      </c>
      <c r="DBW28" s="613">
        <f t="shared" ref="DBW28" si="1412">DBU$28*$C$28</f>
        <v>18629759168.416264</v>
      </c>
      <c r="DBY28" s="613">
        <f t="shared" ref="DBY28" si="1413">DBW$28*$C$28</f>
        <v>18816056760.100426</v>
      </c>
      <c r="DCA28" s="613">
        <f t="shared" ref="DCA28" si="1414">DBY$28*$C$28</f>
        <v>19004217327.701431</v>
      </c>
      <c r="DCC28" s="613">
        <f t="shared" ref="DCC28" si="1415">DCA$28*$C$28</f>
        <v>19194259500.978447</v>
      </c>
      <c r="DCE28" s="613">
        <f t="shared" ref="DCE28" si="1416">DCC$28*$C$28</f>
        <v>19386202095.988232</v>
      </c>
      <c r="DCG28" s="613">
        <f t="shared" ref="DCG28" si="1417">DCE$28*$C$28</f>
        <v>19580064116.948112</v>
      </c>
      <c r="DCI28" s="613">
        <f t="shared" ref="DCI28" si="1418">DCG$28*$C$28</f>
        <v>19775864758.117596</v>
      </c>
      <c r="DCK28" s="613">
        <f t="shared" ref="DCK28" si="1419">DCI$28*$C$28</f>
        <v>19973623405.698772</v>
      </c>
      <c r="DCM28" s="613">
        <f t="shared" ref="DCM28" si="1420">DCK$28*$C$28</f>
        <v>20173359639.75576</v>
      </c>
      <c r="DCO28" s="613">
        <f t="shared" ref="DCO28" si="1421">DCM$28*$C$28</f>
        <v>20375093236.153316</v>
      </c>
      <c r="DCQ28" s="613">
        <f t="shared" ref="DCQ28" si="1422">DCO$28*$C$28</f>
        <v>20578844168.514851</v>
      </c>
      <c r="DCS28" s="613">
        <f t="shared" ref="DCS28" si="1423">DCQ$28*$C$28</f>
        <v>20784632610.200001</v>
      </c>
      <c r="DCU28" s="613">
        <f t="shared" ref="DCU28" si="1424">DCS$28*$C$28</f>
        <v>20992478936.302002</v>
      </c>
      <c r="DCW28" s="613">
        <f t="shared" ref="DCW28" si="1425">DCU$28*$C$28</f>
        <v>21202403725.665024</v>
      </c>
      <c r="DCY28" s="613">
        <f t="shared" ref="DCY28" si="1426">DCW$28*$C$28</f>
        <v>21414427762.921673</v>
      </c>
      <c r="DDA28" s="613">
        <f t="shared" ref="DDA28" si="1427">DCY$28*$C$28</f>
        <v>21628572040.550888</v>
      </c>
      <c r="DDC28" s="613">
        <f t="shared" ref="DDC28" si="1428">DDA$28*$C$28</f>
        <v>21844857760.956398</v>
      </c>
      <c r="DDE28" s="613">
        <f t="shared" ref="DDE28" si="1429">DDC$28*$C$28</f>
        <v>22063306338.565964</v>
      </c>
      <c r="DDG28" s="613">
        <f t="shared" ref="DDG28" si="1430">DDE$28*$C$28</f>
        <v>22283939401.951622</v>
      </c>
      <c r="DDI28" s="613">
        <f t="shared" ref="DDI28" si="1431">DDG$28*$C$28</f>
        <v>22506778795.971138</v>
      </c>
      <c r="DDK28" s="613">
        <f t="shared" ref="DDK28" si="1432">DDI$28*$C$28</f>
        <v>22731846583.930851</v>
      </c>
      <c r="DDM28" s="613">
        <f t="shared" ref="DDM28" si="1433">DDK$28*$C$28</f>
        <v>22959165049.770161</v>
      </c>
      <c r="DDO28" s="613">
        <f t="shared" ref="DDO28" si="1434">DDM$28*$C$28</f>
        <v>23188756700.267864</v>
      </c>
      <c r="DDQ28" s="613">
        <f t="shared" ref="DDQ28" si="1435">DDO$28*$C$28</f>
        <v>23420644267.270542</v>
      </c>
      <c r="DDS28" s="613">
        <f t="shared" ref="DDS28" si="1436">DDQ$28*$C$28</f>
        <v>23654850709.943249</v>
      </c>
      <c r="DDU28" s="613">
        <f t="shared" ref="DDU28" si="1437">DDS$28*$C$28</f>
        <v>23891399217.042683</v>
      </c>
      <c r="DDW28" s="613">
        <f t="shared" ref="DDW28" si="1438">DDU$28*$C$28</f>
        <v>24130313209.213108</v>
      </c>
      <c r="DDY28" s="613">
        <f t="shared" ref="DDY28" si="1439">DDW$28*$C$28</f>
        <v>24371616341.305241</v>
      </c>
      <c r="DEA28" s="613">
        <f t="shared" ref="DEA28" si="1440">DDY$28*$C$28</f>
        <v>24615332504.718292</v>
      </c>
      <c r="DEC28" s="613">
        <f t="shared" ref="DEC28" si="1441">DEA$28*$C$28</f>
        <v>24861485829.765476</v>
      </c>
      <c r="DEE28" s="613">
        <f t="shared" ref="DEE28" si="1442">DEC$28*$C$28</f>
        <v>25110100688.063129</v>
      </c>
      <c r="DEG28" s="613">
        <f t="shared" ref="DEG28" si="1443">DEE$28*$C$28</f>
        <v>25361201694.94376</v>
      </c>
      <c r="DEI28" s="613">
        <f t="shared" ref="DEI28" si="1444">DEG$28*$C$28</f>
        <v>25614813711.893196</v>
      </c>
      <c r="DEK28" s="613">
        <f t="shared" ref="DEK28" si="1445">DEI$28*$C$28</f>
        <v>25870961849.012127</v>
      </c>
      <c r="DEM28" s="613">
        <f t="shared" ref="DEM28" si="1446">DEK$28*$C$28</f>
        <v>26129671467.502247</v>
      </c>
      <c r="DEO28" s="613">
        <f t="shared" ref="DEO28" si="1447">DEM$28*$C$28</f>
        <v>26390968182.177269</v>
      </c>
      <c r="DEQ28" s="613">
        <f t="shared" ref="DEQ28" si="1448">DEO$28*$C$28</f>
        <v>26654877863.999043</v>
      </c>
      <c r="DES28" s="613">
        <f t="shared" ref="DES28" si="1449">DEQ$28*$C$28</f>
        <v>26921426642.639034</v>
      </c>
      <c r="DEU28" s="613">
        <f t="shared" ref="DEU28" si="1450">DES$28*$C$28</f>
        <v>27190640909.065426</v>
      </c>
      <c r="DEW28" s="613">
        <f t="shared" ref="DEW28" si="1451">DEU$28*$C$28</f>
        <v>27462547318.156082</v>
      </c>
      <c r="DEY28" s="613">
        <f t="shared" ref="DEY28" si="1452">DEW$28*$C$28</f>
        <v>27737172791.337643</v>
      </c>
      <c r="DFA28" s="613">
        <f t="shared" ref="DFA28" si="1453">DEY$28*$C$28</f>
        <v>28014544519.251019</v>
      </c>
      <c r="DFC28" s="613">
        <f t="shared" ref="DFC28" si="1454">DFA$28*$C$28</f>
        <v>28294689964.443527</v>
      </c>
      <c r="DFE28" s="613">
        <f t="shared" ref="DFE28" si="1455">DFC$28*$C$28</f>
        <v>28577636864.087963</v>
      </c>
      <c r="DFG28" s="613">
        <f t="shared" ref="DFG28" si="1456">DFE$28*$C$28</f>
        <v>28863413232.728844</v>
      </c>
      <c r="DFI28" s="613">
        <f t="shared" ref="DFI28" si="1457">DFG$28*$C$28</f>
        <v>29152047365.056133</v>
      </c>
      <c r="DFK28" s="613">
        <f t="shared" ref="DFK28" si="1458">DFI$28*$C$28</f>
        <v>29443567838.706696</v>
      </c>
      <c r="DFM28" s="613">
        <f t="shared" ref="DFM28" si="1459">DFK$28*$C$28</f>
        <v>29738003517.093761</v>
      </c>
      <c r="DFO28" s="613">
        <f t="shared" ref="DFO28" si="1460">DFM$28*$C$28</f>
        <v>30035383552.264698</v>
      </c>
      <c r="DFQ28" s="613">
        <f t="shared" ref="DFQ28" si="1461">DFO$28*$C$28</f>
        <v>30335737387.787346</v>
      </c>
      <c r="DFS28" s="613">
        <f t="shared" ref="DFS28" si="1462">DFQ$28*$C$28</f>
        <v>30639094761.665218</v>
      </c>
      <c r="DFU28" s="613">
        <f t="shared" ref="DFU28" si="1463">DFS$28*$C$28</f>
        <v>30945485709.281872</v>
      </c>
      <c r="DFW28" s="613">
        <f t="shared" ref="DFW28" si="1464">DFU$28*$C$28</f>
        <v>31254940566.374691</v>
      </c>
      <c r="DFY28" s="613">
        <f t="shared" ref="DFY28" si="1465">DFW$28*$C$28</f>
        <v>31567489972.038437</v>
      </c>
      <c r="DGA28" s="613">
        <f t="shared" ref="DGA28" si="1466">DFY$28*$C$28</f>
        <v>31883164871.758823</v>
      </c>
      <c r="DGC28" s="613">
        <f t="shared" ref="DGC28" si="1467">DGA$28*$C$28</f>
        <v>32201996520.476414</v>
      </c>
      <c r="DGE28" s="613">
        <f t="shared" ref="DGE28" si="1468">DGC$28*$C$28</f>
        <v>32524016485.681179</v>
      </c>
      <c r="DGG28" s="613">
        <f t="shared" ref="DGG28" si="1469">DGE$28*$C$28</f>
        <v>32849256650.537991</v>
      </c>
      <c r="DGI28" s="613">
        <f t="shared" ref="DGI28" si="1470">DGG$28*$C$28</f>
        <v>33177749217.043369</v>
      </c>
      <c r="DGK28" s="613">
        <f t="shared" ref="DGK28" si="1471">DGI$28*$C$28</f>
        <v>33509526709.213802</v>
      </c>
      <c r="DGM28" s="613">
        <f t="shared" ref="DGM28" si="1472">DGK$28*$C$28</f>
        <v>33844621976.305943</v>
      </c>
      <c r="DGO28" s="613">
        <f t="shared" ref="DGO28" si="1473">DGM$28*$C$28</f>
        <v>34183068196.069004</v>
      </c>
      <c r="DGQ28" s="613">
        <f t="shared" ref="DGQ28" si="1474">DGO$28*$C$28</f>
        <v>34524898878.029694</v>
      </c>
      <c r="DGS28" s="613">
        <f t="shared" ref="DGS28" si="1475">DGQ$28*$C$28</f>
        <v>34870147866.80999</v>
      </c>
      <c r="DGU28" s="613">
        <f t="shared" ref="DGU28" si="1476">DGS$28*$C$28</f>
        <v>35218849345.478088</v>
      </c>
      <c r="DGW28" s="613">
        <f t="shared" ref="DGW28" si="1477">DGU$28*$C$28</f>
        <v>35571037838.932869</v>
      </c>
      <c r="DGY28" s="613">
        <f t="shared" ref="DGY28" si="1478">DGW$28*$C$28</f>
        <v>35926748217.322197</v>
      </c>
      <c r="DHA28" s="613">
        <f t="shared" ref="DHA28" si="1479">DGY$28*$C$28</f>
        <v>36286015699.495422</v>
      </c>
      <c r="DHC28" s="613">
        <f t="shared" ref="DHC28" si="1480">DHA$28*$C$28</f>
        <v>36648875856.490379</v>
      </c>
      <c r="DHE28" s="613">
        <f t="shared" ref="DHE28" si="1481">DHC$28*$C$28</f>
        <v>37015364615.055283</v>
      </c>
      <c r="DHG28" s="613">
        <f t="shared" ref="DHG28" si="1482">DHE$28*$C$28</f>
        <v>37385518261.205833</v>
      </c>
      <c r="DHI28" s="613">
        <f t="shared" ref="DHI28" si="1483">DHG$28*$C$28</f>
        <v>37759373443.817894</v>
      </c>
      <c r="DHK28" s="613">
        <f t="shared" ref="DHK28" si="1484">DHI$28*$C$28</f>
        <v>38136967178.256073</v>
      </c>
      <c r="DHM28" s="613">
        <f t="shared" ref="DHM28" si="1485">DHK$28*$C$28</f>
        <v>38518336850.038635</v>
      </c>
      <c r="DHO28" s="613">
        <f t="shared" ref="DHO28" si="1486">DHM$28*$C$28</f>
        <v>38903520218.539024</v>
      </c>
      <c r="DHQ28" s="613">
        <f t="shared" ref="DHQ28" si="1487">DHO$28*$C$28</f>
        <v>39292555420.724419</v>
      </c>
      <c r="DHS28" s="613">
        <f t="shared" ref="DHS28" si="1488">DHQ$28*$C$28</f>
        <v>39685480974.931664</v>
      </c>
      <c r="DHU28" s="613">
        <f t="shared" ref="DHU28" si="1489">DHS$28*$C$28</f>
        <v>40082335784.680977</v>
      </c>
      <c r="DHW28" s="613">
        <f t="shared" ref="DHW28" si="1490">DHU$28*$C$28</f>
        <v>40483159142.527786</v>
      </c>
      <c r="DHY28" s="613">
        <f t="shared" ref="DHY28" si="1491">DHW$28*$C$28</f>
        <v>40887990733.953064</v>
      </c>
      <c r="DIA28" s="613">
        <f t="shared" ref="DIA28" si="1492">DHY$28*$C$28</f>
        <v>41296870641.292595</v>
      </c>
      <c r="DIC28" s="613">
        <f t="shared" ref="DIC28" si="1493">DIA$28*$C$28</f>
        <v>41709839347.705521</v>
      </c>
      <c r="DIE28" s="613">
        <f t="shared" ref="DIE28" si="1494">DIC$28*$C$28</f>
        <v>42126937741.182579</v>
      </c>
      <c r="DIG28" s="613">
        <f t="shared" ref="DIG28" si="1495">DIE$28*$C$28</f>
        <v>42548207118.594406</v>
      </c>
      <c r="DII28" s="613">
        <f t="shared" ref="DII28" si="1496">DIG$28*$C$28</f>
        <v>42973689189.78035</v>
      </c>
      <c r="DIK28" s="613">
        <f t="shared" ref="DIK28" si="1497">DII$28*$C$28</f>
        <v>43403426081.678154</v>
      </c>
      <c r="DIM28" s="613">
        <f t="shared" ref="DIM28" si="1498">DIK$28*$C$28</f>
        <v>43837460342.494934</v>
      </c>
      <c r="DIO28" s="613">
        <f t="shared" ref="DIO28" si="1499">DIM$28*$C$28</f>
        <v>44275834945.919884</v>
      </c>
      <c r="DIQ28" s="613">
        <f t="shared" ref="DIQ28" si="1500">DIO$28*$C$28</f>
        <v>44718593295.379082</v>
      </c>
      <c r="DIS28" s="613">
        <f t="shared" ref="DIS28" si="1501">DIQ$28*$C$28</f>
        <v>45165779228.33287</v>
      </c>
      <c r="DIU28" s="613">
        <f t="shared" ref="DIU28" si="1502">DIS$28*$C$28</f>
        <v>45617437020.616203</v>
      </c>
      <c r="DIW28" s="613">
        <f t="shared" ref="DIW28" si="1503">DIU$28*$C$28</f>
        <v>46073611390.822365</v>
      </c>
      <c r="DIY28" s="613">
        <f t="shared" ref="DIY28" si="1504">DIW$28*$C$28</f>
        <v>46534347504.730591</v>
      </c>
      <c r="DJA28" s="613">
        <f t="shared" ref="DJA28" si="1505">DIY$28*$C$28</f>
        <v>46999690979.777901</v>
      </c>
      <c r="DJC28" s="613">
        <f t="shared" ref="DJC28" si="1506">DJA$28*$C$28</f>
        <v>47469687889.575684</v>
      </c>
      <c r="DJE28" s="613">
        <f t="shared" ref="DJE28" si="1507">DJC$28*$C$28</f>
        <v>47944384768.471443</v>
      </c>
      <c r="DJG28" s="613">
        <f t="shared" ref="DJG28" si="1508">DJE$28*$C$28</f>
        <v>48423828616.156158</v>
      </c>
      <c r="DJI28" s="613">
        <f t="shared" ref="DJI28" si="1509">DJG$28*$C$28</f>
        <v>48908066902.317719</v>
      </c>
      <c r="DJK28" s="613">
        <f t="shared" ref="DJK28" si="1510">DJI$28*$C$28</f>
        <v>49397147571.340897</v>
      </c>
      <c r="DJM28" s="613">
        <f t="shared" ref="DJM28" si="1511">DJK$28*$C$28</f>
        <v>49891119047.054306</v>
      </c>
      <c r="DJO28" s="613">
        <f t="shared" ref="DJO28" si="1512">DJM$28*$C$28</f>
        <v>50390030237.524849</v>
      </c>
      <c r="DJQ28" s="613">
        <f t="shared" ref="DJQ28" si="1513">DJO$28*$C$28</f>
        <v>50893930539.900101</v>
      </c>
      <c r="DJS28" s="613">
        <f t="shared" ref="DJS28" si="1514">DJQ$28*$C$28</f>
        <v>51402869845.299103</v>
      </c>
      <c r="DJU28" s="613">
        <f t="shared" ref="DJU28" si="1515">DJS$28*$C$28</f>
        <v>51916898543.75209</v>
      </c>
      <c r="DJW28" s="613">
        <f t="shared" ref="DJW28" si="1516">DJU$28*$C$28</f>
        <v>52436067529.189613</v>
      </c>
      <c r="DJY28" s="613">
        <f t="shared" ref="DJY28" si="1517">DJW$28*$C$28</f>
        <v>52960428204.481506</v>
      </c>
      <c r="DKA28" s="613">
        <f t="shared" ref="DKA28" si="1518">DJY$28*$C$28</f>
        <v>53490032486.526321</v>
      </c>
      <c r="DKC28" s="613">
        <f t="shared" ref="DKC28" si="1519">DKA$28*$C$28</f>
        <v>54024932811.391586</v>
      </c>
      <c r="DKE28" s="613">
        <f t="shared" ref="DKE28" si="1520">DKC$28*$C$28</f>
        <v>54565182139.505501</v>
      </c>
      <c r="DKG28" s="613">
        <f t="shared" ref="DKG28" si="1521">DKE$28*$C$28</f>
        <v>55110833960.900558</v>
      </c>
      <c r="DKI28" s="613">
        <f t="shared" ref="DKI28" si="1522">DKG$28*$C$28</f>
        <v>55661942300.509567</v>
      </c>
      <c r="DKK28" s="613">
        <f t="shared" ref="DKK28" si="1523">DKI$28*$C$28</f>
        <v>56218561723.514664</v>
      </c>
      <c r="DKM28" s="613">
        <f t="shared" ref="DKM28" si="1524">DKK$28*$C$28</f>
        <v>56780747340.749809</v>
      </c>
      <c r="DKO28" s="613">
        <f t="shared" ref="DKO28" si="1525">DKM$28*$C$28</f>
        <v>57348554814.15731</v>
      </c>
      <c r="DKQ28" s="613">
        <f t="shared" ref="DKQ28" si="1526">DKO$28*$C$28</f>
        <v>57922040362.298882</v>
      </c>
      <c r="DKS28" s="613">
        <f t="shared" ref="DKS28" si="1527">DKQ$28*$C$28</f>
        <v>58501260765.921867</v>
      </c>
      <c r="DKU28" s="613">
        <f t="shared" ref="DKU28" si="1528">DKS$28*$C$28</f>
        <v>59086273373.581085</v>
      </c>
      <c r="DKW28" s="613">
        <f t="shared" ref="DKW28" si="1529">DKU$28*$C$28</f>
        <v>59677136107.316895</v>
      </c>
      <c r="DKY28" s="613">
        <f t="shared" ref="DKY28" si="1530">DKW$28*$C$28</f>
        <v>60273907468.39006</v>
      </c>
      <c r="DLA28" s="613">
        <f t="shared" ref="DLA28" si="1531">DKY$28*$C$28</f>
        <v>60876646543.073959</v>
      </c>
      <c r="DLC28" s="613">
        <f t="shared" ref="DLC28" si="1532">DLA$28*$C$28</f>
        <v>61485413008.5047</v>
      </c>
      <c r="DLE28" s="613">
        <f t="shared" ref="DLE28" si="1533">DLC$28*$C$28</f>
        <v>62100267138.589745</v>
      </c>
      <c r="DLG28" s="613">
        <f t="shared" ref="DLG28" si="1534">DLE$28*$C$28</f>
        <v>62721269809.975639</v>
      </c>
      <c r="DLI28" s="613">
        <f t="shared" ref="DLI28" si="1535">DLG$28*$C$28</f>
        <v>63348482508.075394</v>
      </c>
      <c r="DLK28" s="613">
        <f t="shared" ref="DLK28" si="1536">DLI$28*$C$28</f>
        <v>63981967333.156151</v>
      </c>
      <c r="DLM28" s="613">
        <f t="shared" ref="DLM28" si="1537">DLK$28*$C$28</f>
        <v>64621787006.487717</v>
      </c>
      <c r="DLO28" s="613">
        <f t="shared" ref="DLO28" si="1538">DLM$28*$C$28</f>
        <v>65268004876.552597</v>
      </c>
      <c r="DLQ28" s="613">
        <f t="shared" ref="DLQ28" si="1539">DLO$28*$C$28</f>
        <v>65920684925.318123</v>
      </c>
      <c r="DLS28" s="613">
        <f t="shared" ref="DLS28" si="1540">DLQ$28*$C$28</f>
        <v>66579891774.571304</v>
      </c>
      <c r="DLU28" s="613">
        <f t="shared" ref="DLU28" si="1541">DLS$28*$C$28</f>
        <v>67245690692.317017</v>
      </c>
      <c r="DLW28" s="613">
        <f t="shared" ref="DLW28" si="1542">DLU$28*$C$28</f>
        <v>67918147599.240189</v>
      </c>
      <c r="DLY28" s="613">
        <f t="shared" ref="DLY28" si="1543">DLW$28*$C$28</f>
        <v>68597329075.23259</v>
      </c>
      <c r="DMA28" s="613">
        <f t="shared" ref="DMA28" si="1544">DLY$28*$C$28</f>
        <v>69283302365.984909</v>
      </c>
      <c r="DMC28" s="613">
        <f t="shared" ref="DMC28" si="1545">DMA$28*$C$28</f>
        <v>69976135389.64476</v>
      </c>
      <c r="DME28" s="613">
        <f t="shared" ref="DME28" si="1546">DMC$28*$C$28</f>
        <v>70675896743.541214</v>
      </c>
      <c r="DMG28" s="613">
        <f t="shared" ref="DMG28" si="1547">DME$28*$C$28</f>
        <v>71382655710.976624</v>
      </c>
      <c r="DMI28" s="613">
        <f t="shared" ref="DMI28" si="1548">DMG$28*$C$28</f>
        <v>72096482268.086395</v>
      </c>
      <c r="DMK28" s="613">
        <f t="shared" ref="DMK28" si="1549">DMI$28*$C$28</f>
        <v>72817447090.767258</v>
      </c>
      <c r="DMM28" s="613">
        <f t="shared" ref="DMM28" si="1550">DMK$28*$C$28</f>
        <v>73545621561.674927</v>
      </c>
      <c r="DMO28" s="613">
        <f t="shared" ref="DMO28" si="1551">DMM$28*$C$28</f>
        <v>74281077777.291672</v>
      </c>
      <c r="DMQ28" s="613">
        <f t="shared" ref="DMQ28" si="1552">DMO$28*$C$28</f>
        <v>75023888555.06459</v>
      </c>
      <c r="DMS28" s="613">
        <f t="shared" ref="DMS28" si="1553">DMQ$28*$C$28</f>
        <v>75774127440.615234</v>
      </c>
      <c r="DMU28" s="613">
        <f t="shared" ref="DMU28" si="1554">DMS$28*$C$28</f>
        <v>76531868715.021393</v>
      </c>
      <c r="DMW28" s="613">
        <f t="shared" ref="DMW28" si="1555">DMU$28*$C$28</f>
        <v>77297187402.1716</v>
      </c>
      <c r="DMY28" s="613">
        <f t="shared" ref="DMY28" si="1556">DMW$28*$C$28</f>
        <v>78070159276.193314</v>
      </c>
      <c r="DNA28" s="613">
        <f t="shared" ref="DNA28" si="1557">DMY$28*$C$28</f>
        <v>78850860868.955246</v>
      </c>
      <c r="DNC28" s="613">
        <f t="shared" ref="DNC28" si="1558">DNA$28*$C$28</f>
        <v>79639369477.644806</v>
      </c>
      <c r="DNE28" s="613">
        <f t="shared" ref="DNE28" si="1559">DNC$28*$C$28</f>
        <v>80435763172.421249</v>
      </c>
      <c r="DNG28" s="613">
        <f t="shared" ref="DNG28" si="1560">DNE$28*$C$28</f>
        <v>81240120804.145462</v>
      </c>
      <c r="DNI28" s="613">
        <f t="shared" ref="DNI28" si="1561">DNG$28*$C$28</f>
        <v>82052522012.18692</v>
      </c>
      <c r="DNK28" s="613">
        <f t="shared" ref="DNK28" si="1562">DNI$28*$C$28</f>
        <v>82873047232.308792</v>
      </c>
      <c r="DNM28" s="613">
        <f t="shared" ref="DNM28" si="1563">DNK$28*$C$28</f>
        <v>83701777704.631882</v>
      </c>
      <c r="DNO28" s="613">
        <f t="shared" ref="DNO28" si="1564">DNM$28*$C$28</f>
        <v>84538795481.678207</v>
      </c>
      <c r="DNQ28" s="613">
        <f t="shared" ref="DNQ28" si="1565">DNO$28*$C$28</f>
        <v>85384183436.494995</v>
      </c>
      <c r="DNS28" s="613">
        <f t="shared" ref="DNS28" si="1566">DNQ$28*$C$28</f>
        <v>86238025270.85994</v>
      </c>
      <c r="DNU28" s="613">
        <f t="shared" ref="DNU28" si="1567">DNS$28*$C$28</f>
        <v>87100405523.568542</v>
      </c>
      <c r="DNW28" s="613">
        <f t="shared" ref="DNW28" si="1568">DNU$28*$C$28</f>
        <v>87971409578.80423</v>
      </c>
      <c r="DNY28" s="613">
        <f t="shared" ref="DNY28" si="1569">DNW$28*$C$28</f>
        <v>88851123674.59227</v>
      </c>
      <c r="DOA28" s="613">
        <f t="shared" ref="DOA28" si="1570">DNY$28*$C$28</f>
        <v>89739634911.338196</v>
      </c>
      <c r="DOC28" s="613">
        <f t="shared" ref="DOC28" si="1571">DOA$28*$C$28</f>
        <v>90637031260.451584</v>
      </c>
      <c r="DOE28" s="613">
        <f t="shared" ref="DOE28" si="1572">DOC$28*$C$28</f>
        <v>91543401573.056107</v>
      </c>
      <c r="DOG28" s="613">
        <f t="shared" ref="DOG28" si="1573">DOE$28*$C$28</f>
        <v>92458835588.786667</v>
      </c>
      <c r="DOI28" s="613">
        <f t="shared" ref="DOI28" si="1574">DOG$28*$C$28</f>
        <v>93383423944.67453</v>
      </c>
      <c r="DOK28" s="613">
        <f t="shared" ref="DOK28" si="1575">DOI$28*$C$28</f>
        <v>94317258184.121277</v>
      </c>
      <c r="DOM28" s="613">
        <f t="shared" ref="DOM28" si="1576">DOK$28*$C$28</f>
        <v>95260430765.962494</v>
      </c>
      <c r="DOO28" s="613">
        <f t="shared" ref="DOO28" si="1577">DOM$28*$C$28</f>
        <v>96213035073.622116</v>
      </c>
      <c r="DOQ28" s="613">
        <f t="shared" ref="DOQ28" si="1578">DOO$28*$C$28</f>
        <v>97175165424.358337</v>
      </c>
      <c r="DOS28" s="613">
        <f t="shared" ref="DOS28" si="1579">DOQ$28*$C$28</f>
        <v>98146917078.601929</v>
      </c>
      <c r="DOU28" s="613">
        <f t="shared" ref="DOU28" si="1580">DOS$28*$C$28</f>
        <v>99128386249.387955</v>
      </c>
      <c r="DOW28" s="613">
        <f t="shared" ref="DOW28" si="1581">DOU$28*$C$28</f>
        <v>100119670111.88184</v>
      </c>
      <c r="DOY28" s="613">
        <f t="shared" ref="DOY28" si="1582">DOW$28*$C$28</f>
        <v>101120866813.00066</v>
      </c>
      <c r="DPA28" s="613">
        <f t="shared" ref="DPA28" si="1583">DOY$28*$C$28</f>
        <v>102132075481.13066</v>
      </c>
      <c r="DPC28" s="613">
        <f t="shared" ref="DPC28" si="1584">DPA$28*$C$28</f>
        <v>103153396235.94197</v>
      </c>
      <c r="DPE28" s="613">
        <f t="shared" ref="DPE28" si="1585">DPC$28*$C$28</f>
        <v>104184930198.30139</v>
      </c>
      <c r="DPG28" s="613">
        <f t="shared" ref="DPG28" si="1586">DPE$28*$C$28</f>
        <v>105226779500.28441</v>
      </c>
      <c r="DPI28" s="613">
        <f t="shared" ref="DPI28" si="1587">DPG$28*$C$28</f>
        <v>106279047295.28725</v>
      </c>
      <c r="DPK28" s="613">
        <f t="shared" ref="DPK28" si="1588">DPI$28*$C$28</f>
        <v>107341837768.24013</v>
      </c>
      <c r="DPM28" s="613">
        <f t="shared" ref="DPM28" si="1589">DPK$28*$C$28</f>
        <v>108415256145.92253</v>
      </c>
      <c r="DPO28" s="613">
        <f t="shared" ref="DPO28" si="1590">DPM$28*$C$28</f>
        <v>109499408707.38176</v>
      </c>
      <c r="DPQ28" s="613">
        <f t="shared" ref="DPQ28" si="1591">DPO$28*$C$28</f>
        <v>110594402794.45558</v>
      </c>
      <c r="DPS28" s="613">
        <f t="shared" ref="DPS28" si="1592">DPQ$28*$C$28</f>
        <v>111700346822.40013</v>
      </c>
      <c r="DPU28" s="613">
        <f t="shared" ref="DPU28" si="1593">DPS$28*$C$28</f>
        <v>112817350290.62413</v>
      </c>
      <c r="DPW28" s="613">
        <f t="shared" ref="DPW28" si="1594">DPU$28*$C$28</f>
        <v>113945523793.53036</v>
      </c>
      <c r="DPY28" s="613">
        <f t="shared" ref="DPY28" si="1595">DPW$28*$C$28</f>
        <v>115084979031.46567</v>
      </c>
      <c r="DQA28" s="613">
        <f t="shared" ref="DQA28" si="1596">DPY$28*$C$28</f>
        <v>116235828821.78032</v>
      </c>
      <c r="DQC28" s="613">
        <f t="shared" ref="DQC28" si="1597">DQA$28*$C$28</f>
        <v>117398187109.99812</v>
      </c>
      <c r="DQE28" s="613">
        <f t="shared" ref="DQE28" si="1598">DQC$28*$C$28</f>
        <v>118572168981.0981</v>
      </c>
      <c r="DQG28" s="613">
        <f t="shared" ref="DQG28" si="1599">DQE$28*$C$28</f>
        <v>119757890670.90909</v>
      </c>
      <c r="DQI28" s="613">
        <f t="shared" ref="DQI28" si="1600">DQG$28*$C$28</f>
        <v>120955469577.61818</v>
      </c>
      <c r="DQK28" s="613">
        <f t="shared" ref="DQK28" si="1601">DQI$28*$C$28</f>
        <v>122165024273.39436</v>
      </c>
      <c r="DQM28" s="613">
        <f t="shared" ref="DQM28" si="1602">DQK$28*$C$28</f>
        <v>123386674516.12831</v>
      </c>
      <c r="DQO28" s="613">
        <f t="shared" ref="DQO28" si="1603">DQM$28*$C$28</f>
        <v>124620541261.2896</v>
      </c>
      <c r="DQQ28" s="613">
        <f t="shared" ref="DQQ28" si="1604">DQO$28*$C$28</f>
        <v>125866746673.9025</v>
      </c>
      <c r="DQS28" s="613">
        <f t="shared" ref="DQS28" si="1605">DQQ$28*$C$28</f>
        <v>127125414140.64153</v>
      </c>
      <c r="DQU28" s="613">
        <f t="shared" ref="DQU28" si="1606">DQS$28*$C$28</f>
        <v>128396668282.04794</v>
      </c>
      <c r="DQW28" s="613">
        <f t="shared" ref="DQW28" si="1607">DQU$28*$C$28</f>
        <v>129680634964.86842</v>
      </c>
      <c r="DQY28" s="613">
        <f t="shared" ref="DQY28" si="1608">DQW$28*$C$28</f>
        <v>130977441314.51711</v>
      </c>
      <c r="DRA28" s="613">
        <f t="shared" ref="DRA28" si="1609">DQY$28*$C$28</f>
        <v>132287215727.66228</v>
      </c>
      <c r="DRC28" s="613">
        <f t="shared" ref="DRC28" si="1610">DRA$28*$C$28</f>
        <v>133610087884.9389</v>
      </c>
      <c r="DRE28" s="613">
        <f t="shared" ref="DRE28" si="1611">DRC$28*$C$28</f>
        <v>134946188763.7883</v>
      </c>
      <c r="DRG28" s="613">
        <f t="shared" ref="DRG28" si="1612">DRE$28*$C$28</f>
        <v>136295650651.42618</v>
      </c>
      <c r="DRI28" s="613">
        <f t="shared" ref="DRI28" si="1613">DRG$28*$C$28</f>
        <v>137658607157.94043</v>
      </c>
      <c r="DRK28" s="613">
        <f t="shared" ref="DRK28" si="1614">DRI$28*$C$28</f>
        <v>139035193229.51984</v>
      </c>
      <c r="DRM28" s="613">
        <f t="shared" ref="DRM28" si="1615">DRK$28*$C$28</f>
        <v>140425545161.81503</v>
      </c>
      <c r="DRO28" s="613">
        <f t="shared" ref="DRO28" si="1616">DRM$28*$C$28</f>
        <v>141829800613.4332</v>
      </c>
      <c r="DRQ28" s="613">
        <f t="shared" ref="DRQ28" si="1617">DRO$28*$C$28</f>
        <v>143248098619.56754</v>
      </c>
      <c r="DRS28" s="613">
        <f t="shared" ref="DRS28" si="1618">DRQ$28*$C$28</f>
        <v>144680579605.76321</v>
      </c>
      <c r="DRU28" s="613">
        <f t="shared" ref="DRU28" si="1619">DRS$28*$C$28</f>
        <v>146127385401.82086</v>
      </c>
      <c r="DRW28" s="613">
        <f t="shared" ref="DRW28" si="1620">DRU$28*$C$28</f>
        <v>147588659255.83908</v>
      </c>
      <c r="DRY28" s="613">
        <f t="shared" ref="DRY28" si="1621">DRW$28*$C$28</f>
        <v>149064545848.39746</v>
      </c>
      <c r="DSA28" s="613">
        <f t="shared" ref="DSA28" si="1622">DRY$28*$C$28</f>
        <v>150555191306.88144</v>
      </c>
      <c r="DSC28" s="613">
        <f t="shared" ref="DSC28" si="1623">DSA$28*$C$28</f>
        <v>152060743219.95026</v>
      </c>
      <c r="DSE28" s="613">
        <f t="shared" ref="DSE28" si="1624">DSC$28*$C$28</f>
        <v>153581350652.14975</v>
      </c>
      <c r="DSG28" s="613">
        <f t="shared" ref="DSG28" si="1625">DSE$28*$C$28</f>
        <v>155117164158.67123</v>
      </c>
      <c r="DSI28" s="613">
        <f t="shared" ref="DSI28" si="1626">DSG$28*$C$28</f>
        <v>156668335800.25793</v>
      </c>
      <c r="DSK28" s="613">
        <f t="shared" ref="DSK28" si="1627">DSI$28*$C$28</f>
        <v>158235019158.26053</v>
      </c>
      <c r="DSM28" s="613">
        <f t="shared" ref="DSM28" si="1628">DSK$28*$C$28</f>
        <v>159817369349.84314</v>
      </c>
      <c r="DSO28" s="613">
        <f t="shared" ref="DSO28" si="1629">DSM$28*$C$28</f>
        <v>161415543043.34158</v>
      </c>
      <c r="DSQ28" s="613">
        <f t="shared" ref="DSQ28" si="1630">DSO$28*$C$28</f>
        <v>163029698473.77499</v>
      </c>
      <c r="DSS28" s="613">
        <f t="shared" ref="DSS28" si="1631">DSQ$28*$C$28</f>
        <v>164659995458.51276</v>
      </c>
      <c r="DSU28" s="613">
        <f t="shared" ref="DSU28" si="1632">DSS$28*$C$28</f>
        <v>166306595413.0979</v>
      </c>
      <c r="DSW28" s="613">
        <f t="shared" ref="DSW28" si="1633">DSU$28*$C$28</f>
        <v>167969661367.22888</v>
      </c>
      <c r="DSY28" s="613">
        <f t="shared" ref="DSY28" si="1634">DSW$28*$C$28</f>
        <v>169649357980.90118</v>
      </c>
      <c r="DTA28" s="613">
        <f t="shared" ref="DTA28" si="1635">DSY$28*$C$28</f>
        <v>171345851560.71021</v>
      </c>
      <c r="DTC28" s="613">
        <f t="shared" ref="DTC28" si="1636">DTA$28*$C$28</f>
        <v>173059310076.31732</v>
      </c>
      <c r="DTE28" s="613">
        <f t="shared" ref="DTE28" si="1637">DTC$28*$C$28</f>
        <v>174789903177.08051</v>
      </c>
      <c r="DTG28" s="613">
        <f t="shared" ref="DTG28" si="1638">DTE$28*$C$28</f>
        <v>176537802208.85132</v>
      </c>
      <c r="DTI28" s="613">
        <f t="shared" ref="DTI28" si="1639">DTG$28*$C$28</f>
        <v>178303180230.93982</v>
      </c>
      <c r="DTK28" s="613">
        <f t="shared" ref="DTK28" si="1640">DTI$28*$C$28</f>
        <v>180086212033.24921</v>
      </c>
      <c r="DTM28" s="613">
        <f t="shared" ref="DTM28" si="1641">DTK$28*$C$28</f>
        <v>181887074153.5817</v>
      </c>
      <c r="DTO28" s="613">
        <f t="shared" ref="DTO28" si="1642">DTM$28*$C$28</f>
        <v>183705944895.11752</v>
      </c>
      <c r="DTQ28" s="613">
        <f t="shared" ref="DTQ28" si="1643">DTO$28*$C$28</f>
        <v>185543004344.0687</v>
      </c>
      <c r="DTS28" s="613">
        <f t="shared" ref="DTS28" si="1644">DTQ$28*$C$28</f>
        <v>187398434387.50937</v>
      </c>
      <c r="DTU28" s="613">
        <f t="shared" ref="DTU28" si="1645">DTS$28*$C$28</f>
        <v>189272418731.38446</v>
      </c>
      <c r="DTW28" s="613">
        <f t="shared" ref="DTW28" si="1646">DTU$28*$C$28</f>
        <v>191165142918.6983</v>
      </c>
      <c r="DTY28" s="613">
        <f t="shared" ref="DTY28" si="1647">DTW$28*$C$28</f>
        <v>193076794347.88528</v>
      </c>
      <c r="DUA28" s="613">
        <f t="shared" ref="DUA28" si="1648">DTY$28*$C$28</f>
        <v>195007562291.36414</v>
      </c>
      <c r="DUC28" s="613">
        <f t="shared" ref="DUC28" si="1649">DUA$28*$C$28</f>
        <v>196957637914.27777</v>
      </c>
      <c r="DUE28" s="613">
        <f t="shared" ref="DUE28" si="1650">DUC$28*$C$28</f>
        <v>198927214293.42056</v>
      </c>
      <c r="DUG28" s="613">
        <f t="shared" ref="DUG28" si="1651">DUE$28*$C$28</f>
        <v>200916486436.35477</v>
      </c>
      <c r="DUI28" s="613">
        <f t="shared" ref="DUI28" si="1652">DUG$28*$C$28</f>
        <v>202925651300.71832</v>
      </c>
      <c r="DUK28" s="613">
        <f t="shared" ref="DUK28" si="1653">DUI$28*$C$28</f>
        <v>204954907813.72549</v>
      </c>
      <c r="DUM28" s="613">
        <f t="shared" ref="DUM28" si="1654">DUK$28*$C$28</f>
        <v>207004456891.86276</v>
      </c>
      <c r="DUO28" s="613">
        <f t="shared" ref="DUO28" si="1655">DUM$28*$C$28</f>
        <v>209074501460.7814</v>
      </c>
      <c r="DUQ28" s="613">
        <f t="shared" ref="DUQ28" si="1656">DUO$28*$C$28</f>
        <v>211165246475.38922</v>
      </c>
      <c r="DUS28" s="613">
        <f t="shared" ref="DUS28" si="1657">DUQ$28*$C$28</f>
        <v>213276898940.14313</v>
      </c>
      <c r="DUU28" s="613">
        <f t="shared" ref="DUU28" si="1658">DUS$28*$C$28</f>
        <v>215409667929.54456</v>
      </c>
      <c r="DUW28" s="613">
        <f t="shared" ref="DUW28" si="1659">DUU$28*$C$28</f>
        <v>217563764608.84</v>
      </c>
      <c r="DUY28" s="613">
        <f t="shared" ref="DUY28" si="1660">DUW$28*$C$28</f>
        <v>219739402254.92841</v>
      </c>
      <c r="DVA28" s="613">
        <f t="shared" ref="DVA28" si="1661">DUY$28*$C$28</f>
        <v>221936796277.47769</v>
      </c>
      <c r="DVC28" s="613">
        <f t="shared" ref="DVC28" si="1662">DVA$28*$C$28</f>
        <v>224156164240.25247</v>
      </c>
      <c r="DVE28" s="613">
        <f t="shared" ref="DVE28" si="1663">DVC$28*$C$28</f>
        <v>226397725882.655</v>
      </c>
      <c r="DVG28" s="613">
        <f t="shared" ref="DVG28" si="1664">DVE$28*$C$28</f>
        <v>228661703141.48154</v>
      </c>
      <c r="DVI28" s="613">
        <f t="shared" ref="DVI28" si="1665">DVG$28*$C$28</f>
        <v>230948320172.89636</v>
      </c>
      <c r="DVK28" s="613">
        <f t="shared" ref="DVK28" si="1666">DVI$28*$C$28</f>
        <v>233257803374.62534</v>
      </c>
      <c r="DVM28" s="613">
        <f t="shared" ref="DVM28" si="1667">DVK$28*$C$28</f>
        <v>235590381408.37158</v>
      </c>
      <c r="DVO28" s="613">
        <f t="shared" ref="DVO28" si="1668">DVM$28*$C$28</f>
        <v>237946285222.45529</v>
      </c>
      <c r="DVQ28" s="613">
        <f t="shared" ref="DVQ28" si="1669">DVO$28*$C$28</f>
        <v>240325748074.67984</v>
      </c>
      <c r="DVS28" s="613">
        <f t="shared" ref="DVS28" si="1670">DVQ$28*$C$28</f>
        <v>242729005555.42664</v>
      </c>
      <c r="DVU28" s="613">
        <f t="shared" ref="DVU28" si="1671">DVS$28*$C$28</f>
        <v>245156295610.9809</v>
      </c>
      <c r="DVW28" s="613">
        <f t="shared" ref="DVW28" si="1672">DVU$28*$C$28</f>
        <v>247607858567.0907</v>
      </c>
      <c r="DVY28" s="613">
        <f t="shared" ref="DVY28" si="1673">DVW$28*$C$28</f>
        <v>250083937152.7616</v>
      </c>
      <c r="DWA28" s="613">
        <f t="shared" ref="DWA28" si="1674">DVY$28*$C$28</f>
        <v>252584776524.28922</v>
      </c>
      <c r="DWC28" s="613">
        <f t="shared" ref="DWC28" si="1675">DWA$28*$C$28</f>
        <v>255110624289.5321</v>
      </c>
      <c r="DWE28" s="613">
        <f t="shared" ref="DWE28" si="1676">DWC$28*$C$28</f>
        <v>257661730532.42743</v>
      </c>
      <c r="DWG28" s="613">
        <f t="shared" ref="DWG28" si="1677">DWE$28*$C$28</f>
        <v>260238347837.75171</v>
      </c>
      <c r="DWI28" s="613">
        <f t="shared" ref="DWI28" si="1678">DWG$28*$C$28</f>
        <v>262840731316.12924</v>
      </c>
      <c r="DWK28" s="613">
        <f t="shared" ref="DWK28" si="1679">DWI$28*$C$28</f>
        <v>265469138629.29053</v>
      </c>
      <c r="DWM28" s="613">
        <f t="shared" ref="DWM28" si="1680">DWK$28*$C$28</f>
        <v>268123830015.58344</v>
      </c>
      <c r="DWO28" s="613">
        <f t="shared" ref="DWO28" si="1681">DWM$28*$C$28</f>
        <v>270805068315.73926</v>
      </c>
      <c r="DWQ28" s="613">
        <f t="shared" ref="DWQ28" si="1682">DWO$28*$C$28</f>
        <v>273513118998.89667</v>
      </c>
      <c r="DWS28" s="613">
        <f t="shared" ref="DWS28" si="1683">DWQ$28*$C$28</f>
        <v>276248250188.88562</v>
      </c>
      <c r="DWU28" s="613">
        <f t="shared" ref="DWU28" si="1684">DWS$28*$C$28</f>
        <v>279010732690.77448</v>
      </c>
      <c r="DWW28" s="613">
        <f t="shared" ref="DWW28" si="1685">DWU$28*$C$28</f>
        <v>281800840017.68225</v>
      </c>
      <c r="DWY28" s="613">
        <f t="shared" ref="DWY28" si="1686">DWW$28*$C$28</f>
        <v>284618848417.85907</v>
      </c>
      <c r="DXA28" s="613">
        <f t="shared" ref="DXA28" si="1687">DWY$28*$C$28</f>
        <v>287465036902.03766</v>
      </c>
      <c r="DXC28" s="613">
        <f t="shared" ref="DXC28" si="1688">DXA$28*$C$28</f>
        <v>290339687271.05804</v>
      </c>
      <c r="DXE28" s="613">
        <f t="shared" ref="DXE28" si="1689">DXC$28*$C$28</f>
        <v>293243084143.76862</v>
      </c>
      <c r="DXG28" s="613">
        <f t="shared" ref="DXG28" si="1690">DXE$28*$C$28</f>
        <v>296175514985.2063</v>
      </c>
      <c r="DXI28" s="613">
        <f t="shared" ref="DXI28" si="1691">DXG$28*$C$28</f>
        <v>299137270135.05835</v>
      </c>
      <c r="DXK28" s="613">
        <f t="shared" ref="DXK28" si="1692">DXI$28*$C$28</f>
        <v>302128642836.40894</v>
      </c>
      <c r="DXM28" s="613">
        <f t="shared" ref="DXM28" si="1693">DXK$28*$C$28</f>
        <v>305149929264.77301</v>
      </c>
      <c r="DXO28" s="613">
        <f t="shared" ref="DXO28" si="1694">DXM$28*$C$28</f>
        <v>308201428557.42072</v>
      </c>
      <c r="DXQ28" s="613">
        <f t="shared" ref="DXQ28" si="1695">DXO$28*$C$28</f>
        <v>311283442842.99493</v>
      </c>
      <c r="DXS28" s="613">
        <f t="shared" ref="DXS28" si="1696">DXQ$28*$C$28</f>
        <v>314396277271.42487</v>
      </c>
      <c r="DXU28" s="613">
        <f t="shared" ref="DXU28" si="1697">DXS$28*$C$28</f>
        <v>317540240044.1391</v>
      </c>
      <c r="DXW28" s="613">
        <f t="shared" ref="DXW28" si="1698">DXU$28*$C$28</f>
        <v>320715642444.58051</v>
      </c>
      <c r="DXY28" s="613">
        <f t="shared" ref="DXY28" si="1699">DXW$28*$C$28</f>
        <v>323922798869.02631</v>
      </c>
      <c r="DYA28" s="613">
        <f t="shared" ref="DYA28" si="1700">DXY$28*$C$28</f>
        <v>327162026857.71655</v>
      </c>
      <c r="DYC28" s="613">
        <f t="shared" ref="DYC28" si="1701">DYA$28*$C$28</f>
        <v>330433647126.2937</v>
      </c>
      <c r="DYE28" s="613">
        <f t="shared" ref="DYE28" si="1702">DYC$28*$C$28</f>
        <v>333737983597.55664</v>
      </c>
      <c r="DYG28" s="613">
        <f t="shared" ref="DYG28" si="1703">DYE$28*$C$28</f>
        <v>337075363433.53223</v>
      </c>
      <c r="DYI28" s="613">
        <f t="shared" ref="DYI28" si="1704">DYG$28*$C$28</f>
        <v>340446117067.86755</v>
      </c>
      <c r="DYK28" s="613">
        <f t="shared" ref="DYK28" si="1705">DYI$28*$C$28</f>
        <v>343850578238.5462</v>
      </c>
      <c r="DYM28" s="613">
        <f t="shared" ref="DYM28" si="1706">DYK$28*$C$28</f>
        <v>347289084020.93164</v>
      </c>
      <c r="DYO28" s="613">
        <f t="shared" ref="DYO28" si="1707">DYM$28*$C$28</f>
        <v>350761974861.14093</v>
      </c>
      <c r="DYQ28" s="613">
        <f t="shared" ref="DYQ28" si="1708">DYO$28*$C$28</f>
        <v>354269594609.75232</v>
      </c>
      <c r="DYS28" s="613">
        <f t="shared" ref="DYS28" si="1709">DYQ$28*$C$28</f>
        <v>357812290555.84985</v>
      </c>
      <c r="DYU28" s="613">
        <f t="shared" ref="DYU28" si="1710">DYS$28*$C$28</f>
        <v>361390413461.40833</v>
      </c>
      <c r="DYW28" s="613">
        <f t="shared" ref="DYW28" si="1711">DYU$28*$C$28</f>
        <v>365004317596.0224</v>
      </c>
      <c r="DYY28" s="613">
        <f t="shared" ref="DYY28" si="1712">DYW$28*$C$28</f>
        <v>368654360771.9826</v>
      </c>
      <c r="DZA28" s="613">
        <f t="shared" ref="DZA28" si="1713">DYY$28*$C$28</f>
        <v>372340904379.70245</v>
      </c>
      <c r="DZC28" s="613">
        <f t="shared" ref="DZC28" si="1714">DZA$28*$C$28</f>
        <v>376064313423.49951</v>
      </c>
      <c r="DZE28" s="613">
        <f t="shared" ref="DZE28" si="1715">DZC$28*$C$28</f>
        <v>379824956557.7345</v>
      </c>
      <c r="DZG28" s="613">
        <f t="shared" ref="DZG28" si="1716">DZE$28*$C$28</f>
        <v>383623206123.31183</v>
      </c>
      <c r="DZI28" s="613">
        <f t="shared" ref="DZI28" si="1717">DZG$28*$C$28</f>
        <v>387459438184.54492</v>
      </c>
      <c r="DZK28" s="613">
        <f t="shared" ref="DZK28" si="1718">DZI$28*$C$28</f>
        <v>391334032566.39038</v>
      </c>
      <c r="DZM28" s="613">
        <f t="shared" ref="DZM28" si="1719">DZK$28*$C$28</f>
        <v>395247372892.05426</v>
      </c>
      <c r="DZO28" s="613">
        <f t="shared" ref="DZO28" si="1720">DZM$28*$C$28</f>
        <v>399199846620.97479</v>
      </c>
      <c r="DZQ28" s="613">
        <f t="shared" ref="DZQ28" si="1721">DZO$28*$C$28</f>
        <v>403191845087.18457</v>
      </c>
      <c r="DZS28" s="613">
        <f t="shared" ref="DZS28" si="1722">DZQ$28*$C$28</f>
        <v>407223763538.0564</v>
      </c>
      <c r="DZU28" s="613">
        <f t="shared" ref="DZU28" si="1723">DZS$28*$C$28</f>
        <v>411296001173.43695</v>
      </c>
      <c r="DZW28" s="613">
        <f t="shared" ref="DZW28" si="1724">DZU$28*$C$28</f>
        <v>415408961185.17133</v>
      </c>
      <c r="DZY28" s="613">
        <f t="shared" ref="DZY28" si="1725">DZW$28*$C$28</f>
        <v>419563050797.02307</v>
      </c>
      <c r="EAA28" s="613">
        <f t="shared" ref="EAA28" si="1726">DZY$28*$C$28</f>
        <v>423758681304.99329</v>
      </c>
      <c r="EAC28" s="613">
        <f t="shared" ref="EAC28" si="1727">EAA$28*$C$28</f>
        <v>427996268118.04321</v>
      </c>
      <c r="EAE28" s="613">
        <f t="shared" ref="EAE28" si="1728">EAC$28*$C$28</f>
        <v>432276230799.22363</v>
      </c>
      <c r="EAG28" s="613">
        <f t="shared" ref="EAG28" si="1729">EAE$28*$C$28</f>
        <v>436598993107.21588</v>
      </c>
      <c r="EAI28" s="613">
        <f t="shared" ref="EAI28" si="1730">EAG$28*$C$28</f>
        <v>440964983038.28802</v>
      </c>
      <c r="EAK28" s="613">
        <f t="shared" ref="EAK28" si="1731">EAI$28*$C$28</f>
        <v>445374632868.6709</v>
      </c>
      <c r="EAM28" s="613">
        <f t="shared" ref="EAM28" si="1732">EAK$28*$C$28</f>
        <v>449828379197.3576</v>
      </c>
      <c r="EAO28" s="613">
        <f t="shared" ref="EAO28" si="1733">EAM$28*$C$28</f>
        <v>454326662989.33118</v>
      </c>
      <c r="EAQ28" s="613">
        <f t="shared" ref="EAQ28" si="1734">EAO$28*$C$28</f>
        <v>458869929619.22449</v>
      </c>
      <c r="EAS28" s="613">
        <f t="shared" ref="EAS28" si="1735">EAQ$28*$C$28</f>
        <v>463458628915.41675</v>
      </c>
      <c r="EAU28" s="613">
        <f t="shared" ref="EAU28" si="1736">EAS$28*$C$28</f>
        <v>468093215204.57092</v>
      </c>
      <c r="EAW28" s="613">
        <f t="shared" ref="EAW28" si="1737">EAU$28*$C$28</f>
        <v>472774147356.61664</v>
      </c>
      <c r="EAY28" s="613">
        <f t="shared" ref="EAY28" si="1738">EAW$28*$C$28</f>
        <v>477501888830.1828</v>
      </c>
      <c r="EBA28" s="613">
        <f t="shared" ref="EBA28" si="1739">EAY$28*$C$28</f>
        <v>482276907718.48462</v>
      </c>
      <c r="EBC28" s="613">
        <f t="shared" ref="EBC28" si="1740">EBA$28*$C$28</f>
        <v>487099676795.66949</v>
      </c>
      <c r="EBE28" s="613">
        <f t="shared" ref="EBE28" si="1741">EBC$28*$C$28</f>
        <v>491970673563.62622</v>
      </c>
      <c r="EBG28" s="613">
        <f t="shared" ref="EBG28" si="1742">EBE$28*$C$28</f>
        <v>496890380299.26251</v>
      </c>
      <c r="EBI28" s="613">
        <f t="shared" ref="EBI28" si="1743">EBG$28*$C$28</f>
        <v>501859284102.25513</v>
      </c>
      <c r="EBK28" s="613">
        <f t="shared" ref="EBK28" si="1744">EBI$28*$C$28</f>
        <v>506877876943.27771</v>
      </c>
      <c r="EBM28" s="613">
        <f t="shared" ref="EBM28" si="1745">EBK$28*$C$28</f>
        <v>511946655712.71051</v>
      </c>
      <c r="EBO28" s="613">
        <f t="shared" ref="EBO28" si="1746">EBM$28*$C$28</f>
        <v>517066122269.83765</v>
      </c>
      <c r="EBQ28" s="613">
        <f t="shared" ref="EBQ28" si="1747">EBO$28*$C$28</f>
        <v>522236783492.53601</v>
      </c>
      <c r="EBS28" s="613">
        <f t="shared" ref="EBS28" si="1748">EBQ$28*$C$28</f>
        <v>527459151327.46136</v>
      </c>
      <c r="EBU28" s="613">
        <f t="shared" ref="EBU28" si="1749">EBS$28*$C$28</f>
        <v>532733742840.73596</v>
      </c>
      <c r="EBW28" s="613">
        <f t="shared" ref="EBW28" si="1750">EBU$28*$C$28</f>
        <v>538061080269.14331</v>
      </c>
      <c r="EBY28" s="613">
        <f t="shared" ref="EBY28" si="1751">EBW$28*$C$28</f>
        <v>543441691071.83478</v>
      </c>
      <c r="ECA28" s="613">
        <f t="shared" ref="ECA28" si="1752">EBY$28*$C$28</f>
        <v>548876107982.5531</v>
      </c>
      <c r="ECC28" s="613">
        <f t="shared" ref="ECC28" si="1753">ECA$28*$C$28</f>
        <v>554364869062.37866</v>
      </c>
      <c r="ECE28" s="613">
        <f t="shared" ref="ECE28" si="1754">ECC$28*$C$28</f>
        <v>559908517753.00244</v>
      </c>
      <c r="ECG28" s="613">
        <f t="shared" ref="ECG28" si="1755">ECE$28*$C$28</f>
        <v>565507602930.53247</v>
      </c>
      <c r="ECI28" s="613">
        <f t="shared" ref="ECI28" si="1756">ECG$28*$C$28</f>
        <v>571162678959.83777</v>
      </c>
      <c r="ECK28" s="613">
        <f t="shared" ref="ECK28" si="1757">ECI$28*$C$28</f>
        <v>576874305749.43616</v>
      </c>
      <c r="ECM28" s="613">
        <f t="shared" ref="ECM28" si="1758">ECK$28*$C$28</f>
        <v>582643048806.93054</v>
      </c>
      <c r="ECO28" s="613">
        <f t="shared" ref="ECO28" si="1759">ECM$28*$C$28</f>
        <v>588469479294.99988</v>
      </c>
      <c r="ECQ28" s="613">
        <f t="shared" ref="ECQ28" si="1760">ECO$28*$C$28</f>
        <v>594354174087.94983</v>
      </c>
      <c r="ECS28" s="613">
        <f t="shared" ref="ECS28" si="1761">ECQ$28*$C$28</f>
        <v>600297715828.82935</v>
      </c>
      <c r="ECU28" s="613">
        <f t="shared" ref="ECU28" si="1762">ECS$28*$C$28</f>
        <v>606300692987.11768</v>
      </c>
      <c r="ECW28" s="613">
        <f t="shared" ref="ECW28" si="1763">ECU$28*$C$28</f>
        <v>612363699916.98889</v>
      </c>
      <c r="ECY28" s="613">
        <f t="shared" ref="ECY28" si="1764">ECW$28*$C$28</f>
        <v>618487336916.15881</v>
      </c>
      <c r="EDA28" s="613">
        <f t="shared" ref="EDA28" si="1765">ECY$28*$C$28</f>
        <v>624672210285.32043</v>
      </c>
      <c r="EDC28" s="613">
        <f t="shared" ref="EDC28" si="1766">EDA$28*$C$28</f>
        <v>630918932388.17358</v>
      </c>
      <c r="EDE28" s="613">
        <f t="shared" ref="EDE28" si="1767">EDC$28*$C$28</f>
        <v>637228121712.0553</v>
      </c>
      <c r="EDG28" s="613">
        <f t="shared" ref="EDG28" si="1768">EDE$28*$C$28</f>
        <v>643600402929.1759</v>
      </c>
      <c r="EDI28" s="613">
        <f t="shared" ref="EDI28" si="1769">EDG$28*$C$28</f>
        <v>650036406958.46765</v>
      </c>
      <c r="EDK28" s="613">
        <f t="shared" ref="EDK28" si="1770">EDI$28*$C$28</f>
        <v>656536771028.05237</v>
      </c>
      <c r="EDM28" s="613">
        <f t="shared" ref="EDM28" si="1771">EDK$28*$C$28</f>
        <v>663102138738.33289</v>
      </c>
      <c r="EDO28" s="613">
        <f t="shared" ref="EDO28" si="1772">EDM$28*$C$28</f>
        <v>669733160125.71619</v>
      </c>
      <c r="EDQ28" s="613">
        <f t="shared" ref="EDQ28" si="1773">EDO$28*$C$28</f>
        <v>676430491726.97339</v>
      </c>
      <c r="EDS28" s="613">
        <f t="shared" ref="EDS28" si="1774">EDQ$28*$C$28</f>
        <v>683194796644.24316</v>
      </c>
      <c r="EDU28" s="613">
        <f t="shared" ref="EDU28" si="1775">EDS$28*$C$28</f>
        <v>690026744610.68555</v>
      </c>
      <c r="EDW28" s="613">
        <f t="shared" ref="EDW28" si="1776">EDU$28*$C$28</f>
        <v>696927012056.79236</v>
      </c>
      <c r="EDY28" s="613">
        <f t="shared" ref="EDY28" si="1777">EDW$28*$C$28</f>
        <v>703896282177.36023</v>
      </c>
      <c r="EEA28" s="613">
        <f t="shared" ref="EEA28" si="1778">EDY$28*$C$28</f>
        <v>710935244999.13379</v>
      </c>
      <c r="EEC28" s="613">
        <f t="shared" ref="EEC28" si="1779">EEA$28*$C$28</f>
        <v>718044597449.12512</v>
      </c>
      <c r="EEE28" s="613">
        <f t="shared" ref="EEE28" si="1780">EEC$28*$C$28</f>
        <v>725225043423.61633</v>
      </c>
      <c r="EEG28" s="613">
        <f t="shared" ref="EEG28" si="1781">EEE$28*$C$28</f>
        <v>732477293857.85254</v>
      </c>
      <c r="EEI28" s="613">
        <f t="shared" ref="EEI28" si="1782">EEG$28*$C$28</f>
        <v>739802066796.43103</v>
      </c>
      <c r="EEK28" s="613">
        <f t="shared" ref="EEK28" si="1783">EEI$28*$C$28</f>
        <v>747200087464.39539</v>
      </c>
      <c r="EEM28" s="613">
        <f t="shared" ref="EEM28" si="1784">EEK$28*$C$28</f>
        <v>754672088339.03931</v>
      </c>
      <c r="EEO28" s="613">
        <f t="shared" ref="EEO28" si="1785">EEM$28*$C$28</f>
        <v>762218809222.42969</v>
      </c>
      <c r="EEQ28" s="613">
        <f t="shared" ref="EEQ28" si="1786">EEO$28*$C$28</f>
        <v>769840997314.65393</v>
      </c>
      <c r="EES28" s="613">
        <f t="shared" ref="EES28" si="1787">EEQ$28*$C$28</f>
        <v>777539407287.80054</v>
      </c>
      <c r="EEU28" s="613">
        <f t="shared" ref="EEU28" si="1788">EES$28*$C$28</f>
        <v>785314801360.67859</v>
      </c>
      <c r="EEW28" s="613">
        <f t="shared" ref="EEW28" si="1789">EEU$28*$C$28</f>
        <v>793167949374.2854</v>
      </c>
      <c r="EEY28" s="613">
        <f t="shared" ref="EEY28" si="1790">EEW$28*$C$28</f>
        <v>801099628868.02832</v>
      </c>
      <c r="EFA28" s="613">
        <f t="shared" ref="EFA28" si="1791">EEY$28*$C$28</f>
        <v>809110625156.70862</v>
      </c>
      <c r="EFC28" s="613">
        <f t="shared" ref="EFC28" si="1792">EFA$28*$C$28</f>
        <v>817201731408.27576</v>
      </c>
      <c r="EFE28" s="613">
        <f t="shared" ref="EFE28" si="1793">EFC$28*$C$28</f>
        <v>825373748722.35852</v>
      </c>
      <c r="EFG28" s="613">
        <f t="shared" ref="EFG28" si="1794">EFE$28*$C$28</f>
        <v>833627486209.58215</v>
      </c>
      <c r="EFI28" s="613">
        <f t="shared" ref="EFI28" si="1795">EFG$28*$C$28</f>
        <v>841963761071.67798</v>
      </c>
      <c r="EFK28" s="613">
        <f t="shared" ref="EFK28" si="1796">EFI$28*$C$28</f>
        <v>850383398682.39478</v>
      </c>
      <c r="EFM28" s="613">
        <f t="shared" ref="EFM28" si="1797">EFK$28*$C$28</f>
        <v>858887232669.21875</v>
      </c>
      <c r="EFO28" s="613">
        <f t="shared" ref="EFO28" si="1798">EFM$28*$C$28</f>
        <v>867476104995.91089</v>
      </c>
      <c r="EFQ28" s="613">
        <f t="shared" ref="EFQ28" si="1799">EFO$28*$C$28</f>
        <v>876150866045.87</v>
      </c>
      <c r="EFS28" s="613">
        <f t="shared" ref="EFS28" si="1800">EFQ$28*$C$28</f>
        <v>884912374706.32874</v>
      </c>
      <c r="EFU28" s="613">
        <f t="shared" ref="EFU28" si="1801">EFS$28*$C$28</f>
        <v>893761498453.39209</v>
      </c>
      <c r="EFW28" s="613">
        <f t="shared" ref="EFW28" si="1802">EFU$28*$C$28</f>
        <v>902699113437.92603</v>
      </c>
      <c r="EFY28" s="613">
        <f t="shared" ref="EFY28" si="1803">EFW$28*$C$28</f>
        <v>911726104572.3053</v>
      </c>
      <c r="EGA28" s="613">
        <f t="shared" ref="EGA28" si="1804">EFY$28*$C$28</f>
        <v>920843365618.02832</v>
      </c>
      <c r="EGC28" s="613">
        <f t="shared" ref="EGC28" si="1805">EGA$28*$C$28</f>
        <v>930051799274.20862</v>
      </c>
      <c r="EGE28" s="613">
        <f t="shared" ref="EGE28" si="1806">EGC$28*$C$28</f>
        <v>939352317266.95068</v>
      </c>
      <c r="EGG28" s="613">
        <f t="shared" ref="EGG28" si="1807">EGE$28*$C$28</f>
        <v>948745840439.62024</v>
      </c>
      <c r="EGI28" s="613">
        <f t="shared" ref="EGI28" si="1808">EGG$28*$C$28</f>
        <v>958233298844.01648</v>
      </c>
      <c r="EGK28" s="613">
        <f t="shared" ref="EGK28" si="1809">EGI$28*$C$28</f>
        <v>967815631832.45667</v>
      </c>
      <c r="EGM28" s="613">
        <f t="shared" ref="EGM28" si="1810">EGK$28*$C$28</f>
        <v>977493788150.78125</v>
      </c>
      <c r="EGO28" s="613">
        <f t="shared" ref="EGO28" si="1811">EGM$28*$C$28</f>
        <v>987268726032.28906</v>
      </c>
      <c r="EGQ28" s="613">
        <f t="shared" ref="EGQ28" si="1812">EGO$28*$C$28</f>
        <v>997141413292.61194</v>
      </c>
      <c r="EGS28" s="613">
        <f t="shared" ref="EGS28" si="1813">EGQ$28*$C$28</f>
        <v>1007112827425.5381</v>
      </c>
      <c r="EGU28" s="613">
        <f t="shared" ref="EGU28" si="1814">EGS$28*$C$28</f>
        <v>1017183955699.7935</v>
      </c>
      <c r="EGW28" s="613">
        <f t="shared" ref="EGW28" si="1815">EGU$28*$C$28</f>
        <v>1027355795256.7914</v>
      </c>
      <c r="EGY28" s="613">
        <f t="shared" ref="EGY28" si="1816">EGW$28*$C$28</f>
        <v>1037629353209.3593</v>
      </c>
      <c r="EHA28" s="613">
        <f t="shared" ref="EHA28" si="1817">EGY$28*$C$28</f>
        <v>1048005646741.4529</v>
      </c>
      <c r="EHC28" s="613">
        <f t="shared" ref="EHC28" si="1818">EHA$28*$C$28</f>
        <v>1058485703208.8674</v>
      </c>
      <c r="EHE28" s="613">
        <f t="shared" ref="EHE28" si="1819">EHC$28*$C$28</f>
        <v>1069070560240.9561</v>
      </c>
      <c r="EHG28" s="613">
        <f t="shared" ref="EHG28" si="1820">EHE$28*$C$28</f>
        <v>1079761265843.3656</v>
      </c>
      <c r="EHI28" s="613">
        <f t="shared" ref="EHI28" si="1821">EHG$28*$C$28</f>
        <v>1090558878501.7993</v>
      </c>
      <c r="EHK28" s="613">
        <f t="shared" ref="EHK28" si="1822">EHI$28*$C$28</f>
        <v>1101464467286.8174</v>
      </c>
      <c r="EHM28" s="613">
        <f t="shared" ref="EHM28" si="1823">EHK$28*$C$28</f>
        <v>1112479111959.6855</v>
      </c>
      <c r="EHO28" s="613">
        <f t="shared" ref="EHO28" si="1824">EHM$28*$C$28</f>
        <v>1123603903079.2825</v>
      </c>
      <c r="EHQ28" s="613">
        <f t="shared" ref="EHQ28" si="1825">EHO$28*$C$28</f>
        <v>1134839942110.0752</v>
      </c>
      <c r="EHS28" s="613">
        <f t="shared" ref="EHS28" si="1826">EHQ$28*$C$28</f>
        <v>1146188341531.176</v>
      </c>
      <c r="EHU28" s="613">
        <f t="shared" ref="EHU28" si="1827">EHS$28*$C$28</f>
        <v>1157650224946.4878</v>
      </c>
      <c r="EHW28" s="613">
        <f t="shared" ref="EHW28" si="1828">EHU$28*$C$28</f>
        <v>1169226727195.9526</v>
      </c>
      <c r="EHY28" s="613">
        <f t="shared" ref="EHY28" si="1829">EHW$28*$C$28</f>
        <v>1180918994467.9121</v>
      </c>
      <c r="EIA28" s="613">
        <f t="shared" ref="EIA28" si="1830">EHY$28*$C$28</f>
        <v>1192728184412.5913</v>
      </c>
      <c r="EIC28" s="613">
        <f t="shared" ref="EIC28" si="1831">EIA$28*$C$28</f>
        <v>1204655466256.7173</v>
      </c>
      <c r="EIE28" s="613">
        <f t="shared" ref="EIE28" si="1832">EIC$28*$C$28</f>
        <v>1216702020919.2844</v>
      </c>
      <c r="EIG28" s="613">
        <f t="shared" ref="EIG28" si="1833">EIE$28*$C$28</f>
        <v>1228869041128.4773</v>
      </c>
      <c r="EII28" s="613">
        <f t="shared" ref="EII28" si="1834">EIG$28*$C$28</f>
        <v>1241157731539.762</v>
      </c>
      <c r="EIK28" s="613">
        <f t="shared" ref="EIK28" si="1835">EII$28*$C$28</f>
        <v>1253569308855.1597</v>
      </c>
      <c r="EIM28" s="613">
        <f t="shared" ref="EIM28" si="1836">EIK$28*$C$28</f>
        <v>1266105001943.7112</v>
      </c>
      <c r="EIO28" s="613">
        <f t="shared" ref="EIO28" si="1837">EIM$28*$C$28</f>
        <v>1278766051963.1482</v>
      </c>
      <c r="EIQ28" s="613">
        <f t="shared" ref="EIQ28" si="1838">EIO$28*$C$28</f>
        <v>1291553712482.7798</v>
      </c>
      <c r="EIS28" s="613">
        <f t="shared" ref="EIS28" si="1839">EIQ$28*$C$28</f>
        <v>1304469249607.6077</v>
      </c>
      <c r="EIU28" s="613">
        <f t="shared" ref="EIU28" si="1840">EIS$28*$C$28</f>
        <v>1317513942103.6838</v>
      </c>
      <c r="EIW28" s="613">
        <f t="shared" ref="EIW28" si="1841">EIU$28*$C$28</f>
        <v>1330689081524.7207</v>
      </c>
      <c r="EIY28" s="613">
        <f t="shared" ref="EIY28" si="1842">EIW$28*$C$28</f>
        <v>1343995972339.968</v>
      </c>
      <c r="EJA28" s="613">
        <f t="shared" ref="EJA28" si="1843">EIY$28*$C$28</f>
        <v>1357435932063.3677</v>
      </c>
      <c r="EJC28" s="613">
        <f t="shared" ref="EJC28" si="1844">EJA$28*$C$28</f>
        <v>1371010291384.0015</v>
      </c>
      <c r="EJE28" s="613">
        <f t="shared" ref="EJE28" si="1845">EJC$28*$C$28</f>
        <v>1384720394297.8416</v>
      </c>
      <c r="EJG28" s="613">
        <f t="shared" ref="EJG28" si="1846">EJE$28*$C$28</f>
        <v>1398567598240.8201</v>
      </c>
      <c r="EJI28" s="613">
        <f t="shared" ref="EJI28" si="1847">EJG$28*$C$28</f>
        <v>1412553274223.2283</v>
      </c>
      <c r="EJK28" s="613">
        <f t="shared" ref="EJK28" si="1848">EJI$28*$C$28</f>
        <v>1426678806965.4604</v>
      </c>
      <c r="EJM28" s="613">
        <f t="shared" ref="EJM28" si="1849">EJK$28*$C$28</f>
        <v>1440945595035.115</v>
      </c>
      <c r="EJO28" s="613">
        <f t="shared" ref="EJO28" si="1850">EJM$28*$C$28</f>
        <v>1455355050985.4661</v>
      </c>
      <c r="EJQ28" s="613">
        <f t="shared" ref="EJQ28" si="1851">EJO$28*$C$28</f>
        <v>1469908601495.3208</v>
      </c>
      <c r="EJS28" s="613">
        <f t="shared" ref="EJS28" si="1852">EJQ$28*$C$28</f>
        <v>1484607687510.2739</v>
      </c>
      <c r="EJU28" s="613">
        <f t="shared" ref="EJU28" si="1853">EJS$28*$C$28</f>
        <v>1499453764385.3767</v>
      </c>
      <c r="EJW28" s="613">
        <f t="shared" ref="EJW28" si="1854">EJU$28*$C$28</f>
        <v>1514448302029.2305</v>
      </c>
      <c r="EJY28" s="613">
        <f t="shared" ref="EJY28" si="1855">EJW$28*$C$28</f>
        <v>1529592785049.5227</v>
      </c>
      <c r="EKA28" s="613">
        <f t="shared" ref="EKA28" si="1856">EJY$28*$C$28</f>
        <v>1544888712900.0181</v>
      </c>
      <c r="EKC28" s="613">
        <f t="shared" ref="EKC28" si="1857">EKA$28*$C$28</f>
        <v>1560337600029.0183</v>
      </c>
      <c r="EKE28" s="613">
        <f t="shared" ref="EKE28" si="1858">EKC$28*$C$28</f>
        <v>1575940976029.3086</v>
      </c>
      <c r="EKG28" s="613">
        <f t="shared" ref="EKG28" si="1859">EKE$28*$C$28</f>
        <v>1591700385789.6018</v>
      </c>
      <c r="EKI28" s="613">
        <f t="shared" ref="EKI28" si="1860">EKG$28*$C$28</f>
        <v>1607617389647.4978</v>
      </c>
      <c r="EKK28" s="613">
        <f t="shared" ref="EKK28" si="1861">EKI$28*$C$28</f>
        <v>1623693563543.9729</v>
      </c>
      <c r="EKM28" s="613">
        <f t="shared" ref="EKM28" si="1862">EKK$28*$C$28</f>
        <v>1639930499179.4126</v>
      </c>
      <c r="EKO28" s="613">
        <f t="shared" ref="EKO28" si="1863">EKM$28*$C$28</f>
        <v>1656329804171.2068</v>
      </c>
      <c r="EKQ28" s="613">
        <f t="shared" ref="EKQ28" si="1864">EKO$28*$C$28</f>
        <v>1672893102212.9189</v>
      </c>
      <c r="EKS28" s="613">
        <f t="shared" ref="EKS28" si="1865">EKQ$28*$C$28</f>
        <v>1689622033235.0481</v>
      </c>
      <c r="EKU28" s="613">
        <f t="shared" ref="EKU28" si="1866">EKS$28*$C$28</f>
        <v>1706518253567.3987</v>
      </c>
      <c r="EKW28" s="613">
        <f t="shared" ref="EKW28" si="1867">EKU$28*$C$28</f>
        <v>1723583436103.0728</v>
      </c>
      <c r="EKY28" s="613">
        <f t="shared" ref="EKY28" si="1868">EKW$28*$C$28</f>
        <v>1740819270464.1035</v>
      </c>
      <c r="ELA28" s="613">
        <f t="shared" ref="ELA28" si="1869">EKY$28*$C$28</f>
        <v>1758227463168.7446</v>
      </c>
      <c r="ELC28" s="613">
        <f t="shared" ref="ELC28" si="1870">ELA$28*$C$28</f>
        <v>1775809737800.4321</v>
      </c>
      <c r="ELE28" s="613">
        <f t="shared" ref="ELE28" si="1871">ELC$28*$C$28</f>
        <v>1793567835178.4365</v>
      </c>
      <c r="ELG28" s="613">
        <f t="shared" ref="ELG28" si="1872">ELE$28*$C$28</f>
        <v>1811503513530.2209</v>
      </c>
      <c r="ELI28" s="613">
        <f t="shared" ref="ELI28" si="1873">ELG$28*$C$28</f>
        <v>1829618548665.5232</v>
      </c>
      <c r="ELK28" s="613">
        <f t="shared" ref="ELK28" si="1874">ELI$28*$C$28</f>
        <v>1847914734152.1785</v>
      </c>
      <c r="ELM28" s="613">
        <f t="shared" ref="ELM28" si="1875">ELK$28*$C$28</f>
        <v>1866393881493.7002</v>
      </c>
      <c r="ELO28" s="613">
        <f t="shared" ref="ELO28" si="1876">ELM$28*$C$28</f>
        <v>1885057820308.6372</v>
      </c>
      <c r="ELQ28" s="613">
        <f t="shared" ref="ELQ28" si="1877">ELO$28*$C$28</f>
        <v>1903908398511.7236</v>
      </c>
      <c r="ELS28" s="613">
        <f t="shared" ref="ELS28" si="1878">ELQ$28*$C$28</f>
        <v>1922947482496.8408</v>
      </c>
      <c r="ELU28" s="613">
        <f t="shared" ref="ELU28" si="1879">ELS$28*$C$28</f>
        <v>1942176957321.8093</v>
      </c>
      <c r="ELW28" s="613">
        <f t="shared" ref="ELW28" si="1880">ELU$28*$C$28</f>
        <v>1961598726895.0273</v>
      </c>
      <c r="ELY28" s="613">
        <f t="shared" ref="ELY28" si="1881">ELW$28*$C$28</f>
        <v>1981214714163.9775</v>
      </c>
      <c r="EMA28" s="613">
        <f t="shared" ref="EMA28" si="1882">ELY$28*$C$28</f>
        <v>2001026861305.6174</v>
      </c>
      <c r="EMC28" s="613">
        <f t="shared" ref="EMC28" si="1883">EMA$28*$C$28</f>
        <v>2021037129918.6736</v>
      </c>
      <c r="EME28" s="613">
        <f t="shared" ref="EME28" si="1884">EMC$28*$C$28</f>
        <v>2041247501217.8604</v>
      </c>
      <c r="EMG28" s="613">
        <f t="shared" ref="EMG28" si="1885">EME$28*$C$28</f>
        <v>2061659976230.0391</v>
      </c>
      <c r="EMI28" s="613">
        <f t="shared" ref="EMI28" si="1886">EMG$28*$C$28</f>
        <v>2082276575992.3394</v>
      </c>
      <c r="EMK28" s="613">
        <f t="shared" ref="EMK28" si="1887">EMI$28*$C$28</f>
        <v>2103099341752.2627</v>
      </c>
      <c r="EMM28" s="613">
        <f t="shared" ref="EMM28" si="1888">EMK$28*$C$28</f>
        <v>2124130335169.7854</v>
      </c>
      <c r="EMO28" s="613">
        <f t="shared" ref="EMO28" si="1889">EMM$28*$C$28</f>
        <v>2145371638521.4832</v>
      </c>
      <c r="EMQ28" s="613">
        <f t="shared" ref="EMQ28" si="1890">EMO$28*$C$28</f>
        <v>2166825354906.698</v>
      </c>
      <c r="EMS28" s="613">
        <f t="shared" ref="EMS28" si="1891">EMQ$28*$C$28</f>
        <v>2188493608455.7649</v>
      </c>
      <c r="EMU28" s="613">
        <f t="shared" ref="EMU28" si="1892">EMS$28*$C$28</f>
        <v>2210378544540.3228</v>
      </c>
      <c r="EMW28" s="613">
        <f t="shared" ref="EMW28" si="1893">EMU$28*$C$28</f>
        <v>2232482329985.7261</v>
      </c>
      <c r="EMY28" s="613">
        <f t="shared" ref="EMY28" si="1894">EMW$28*$C$28</f>
        <v>2254807153285.5835</v>
      </c>
      <c r="ENA28" s="613">
        <f t="shared" ref="ENA28" si="1895">EMY$28*$C$28</f>
        <v>2277355224818.4395</v>
      </c>
      <c r="ENC28" s="613">
        <f t="shared" ref="ENC28" si="1896">ENA$28*$C$28</f>
        <v>2300128777066.624</v>
      </c>
      <c r="ENE28" s="613">
        <f t="shared" ref="ENE28" si="1897">ENC$28*$C$28</f>
        <v>2323130064837.2905</v>
      </c>
      <c r="ENG28" s="613">
        <f t="shared" ref="ENG28" si="1898">ENE$28*$C$28</f>
        <v>2346361365485.6636</v>
      </c>
      <c r="ENI28" s="613">
        <f t="shared" ref="ENI28" si="1899">ENG$28*$C$28</f>
        <v>2369824979140.52</v>
      </c>
      <c r="ENK28" s="613">
        <f t="shared" ref="ENK28" si="1900">ENI$28*$C$28</f>
        <v>2393523228931.9253</v>
      </c>
      <c r="ENM28" s="613">
        <f t="shared" ref="ENM28" si="1901">ENK$28*$C$28</f>
        <v>2417458461221.2446</v>
      </c>
      <c r="ENO28" s="613">
        <f t="shared" ref="ENO28" si="1902">ENM$28*$C$28</f>
        <v>2441633045833.457</v>
      </c>
      <c r="ENQ28" s="613">
        <f t="shared" ref="ENQ28" si="1903">ENO$28*$C$28</f>
        <v>2466049376291.7915</v>
      </c>
      <c r="ENS28" s="613">
        <f t="shared" ref="ENS28" si="1904">ENQ$28*$C$28</f>
        <v>2490709870054.7095</v>
      </c>
      <c r="ENU28" s="613">
        <f t="shared" ref="ENU28" si="1905">ENS$28*$C$28</f>
        <v>2515616968755.2563</v>
      </c>
      <c r="ENW28" s="613">
        <f t="shared" ref="ENW28" si="1906">ENU$28*$C$28</f>
        <v>2540773138442.8091</v>
      </c>
      <c r="ENY28" s="613">
        <f t="shared" ref="ENY28" si="1907">ENW$28*$C$28</f>
        <v>2566180869827.2373</v>
      </c>
      <c r="EOA28" s="613">
        <f t="shared" ref="EOA28" si="1908">ENY$28*$C$28</f>
        <v>2591842678525.5098</v>
      </c>
      <c r="EOC28" s="613">
        <f t="shared" ref="EOC28" si="1909">EOA$28*$C$28</f>
        <v>2617761105310.7646</v>
      </c>
      <c r="EOE28" s="613">
        <f t="shared" ref="EOE28" si="1910">EOC$28*$C$28</f>
        <v>2643938716363.8726</v>
      </c>
      <c r="EOG28" s="613">
        <f t="shared" ref="EOG28" si="1911">EOE$28*$C$28</f>
        <v>2670378103527.5112</v>
      </c>
      <c r="EOI28" s="613">
        <f t="shared" ref="EOI28" si="1912">EOG$28*$C$28</f>
        <v>2697081884562.7861</v>
      </c>
      <c r="EOK28" s="613">
        <f t="shared" ref="EOK28" si="1913">EOI$28*$C$28</f>
        <v>2724052703408.4141</v>
      </c>
      <c r="EOM28" s="613">
        <f t="shared" ref="EOM28" si="1914">EOK$28*$C$28</f>
        <v>2751293230442.498</v>
      </c>
      <c r="EOO28" s="613">
        <f t="shared" ref="EOO28" si="1915">EOM$28*$C$28</f>
        <v>2778806162746.9229</v>
      </c>
      <c r="EOQ28" s="613">
        <f t="shared" ref="EOQ28" si="1916">EOO$28*$C$28</f>
        <v>2806594224374.3921</v>
      </c>
      <c r="EOS28" s="613">
        <f t="shared" ref="EOS28" si="1917">EOQ$28*$C$28</f>
        <v>2834660166618.1362</v>
      </c>
      <c r="EOU28" s="613">
        <f t="shared" ref="EOU28" si="1918">EOS$28*$C$28</f>
        <v>2863006768284.3174</v>
      </c>
      <c r="EOW28" s="613">
        <f t="shared" ref="EOW28" si="1919">EOU$28*$C$28</f>
        <v>2891636835967.1606</v>
      </c>
      <c r="EOY28" s="613">
        <f t="shared" ref="EOY28" si="1920">EOW$28*$C$28</f>
        <v>2920553204326.8325</v>
      </c>
      <c r="EPA28" s="613">
        <f t="shared" ref="EPA28" si="1921">EOY$28*$C$28</f>
        <v>2949758736370.1011</v>
      </c>
      <c r="EPC28" s="613">
        <f t="shared" ref="EPC28" si="1922">EPA$28*$C$28</f>
        <v>2979256323733.8022</v>
      </c>
      <c r="EPE28" s="613">
        <f t="shared" ref="EPE28" si="1923">EPC$28*$C$28</f>
        <v>3009048886971.1401</v>
      </c>
      <c r="EPG28" s="613">
        <f t="shared" ref="EPG28" si="1924">EPE$28*$C$28</f>
        <v>3039139375840.8516</v>
      </c>
      <c r="EPI28" s="613">
        <f t="shared" ref="EPI28" si="1925">EPG$28*$C$28</f>
        <v>3069530769599.2603</v>
      </c>
      <c r="EPK28" s="613">
        <f t="shared" ref="EPK28" si="1926">EPI$28*$C$28</f>
        <v>3100226077295.2529</v>
      </c>
      <c r="EPM28" s="613">
        <f t="shared" ref="EPM28" si="1927">EPK$28*$C$28</f>
        <v>3131228338068.2056</v>
      </c>
      <c r="EPO28" s="613">
        <f t="shared" ref="EPO28" si="1928">EPM$28*$C$28</f>
        <v>3162540621448.8877</v>
      </c>
      <c r="EPQ28" s="613">
        <f t="shared" ref="EPQ28" si="1929">EPO$28*$C$28</f>
        <v>3194166027663.3765</v>
      </c>
      <c r="EPS28" s="613">
        <f t="shared" ref="EPS28" si="1930">EPQ$28*$C$28</f>
        <v>3226107687940.0103</v>
      </c>
      <c r="EPU28" s="613">
        <f t="shared" ref="EPU28" si="1931">EPS$28*$C$28</f>
        <v>3258368764819.4102</v>
      </c>
      <c r="EPW28" s="613">
        <f t="shared" ref="EPW28" si="1932">EPU$28*$C$28</f>
        <v>3290952452467.6045</v>
      </c>
      <c r="EPY28" s="613">
        <f t="shared" ref="EPY28" si="1933">EPW$28*$C$28</f>
        <v>3323861976992.2808</v>
      </c>
      <c r="EQA28" s="613">
        <f t="shared" ref="EQA28" si="1934">EPY$28*$C$28</f>
        <v>3357100596762.2036</v>
      </c>
      <c r="EQC28" s="613">
        <f t="shared" ref="EQC28" si="1935">EQA$28*$C$28</f>
        <v>3390671602729.8257</v>
      </c>
      <c r="EQE28" s="613">
        <f t="shared" ref="EQE28" si="1936">EQC$28*$C$28</f>
        <v>3424578318757.124</v>
      </c>
      <c r="EQG28" s="613">
        <f t="shared" ref="EQG28" si="1937">EQE$28*$C$28</f>
        <v>3458824101944.6953</v>
      </c>
      <c r="EQI28" s="613">
        <f t="shared" ref="EQI28" si="1938">EQG$28*$C$28</f>
        <v>3493412342964.1421</v>
      </c>
      <c r="EQK28" s="613">
        <f t="shared" ref="EQK28" si="1939">EQI$28*$C$28</f>
        <v>3528346466393.7837</v>
      </c>
      <c r="EQM28" s="613">
        <f t="shared" ref="EQM28" si="1940">EQK$28*$C$28</f>
        <v>3563629931057.7217</v>
      </c>
      <c r="EQO28" s="613">
        <f t="shared" ref="EQO28" si="1941">EQM$28*$C$28</f>
        <v>3599266230368.2988</v>
      </c>
      <c r="EQQ28" s="613">
        <f t="shared" ref="EQQ28" si="1942">EQO$28*$C$28</f>
        <v>3635258892671.9819</v>
      </c>
      <c r="EQS28" s="613">
        <f t="shared" ref="EQS28" si="1943">EQQ$28*$C$28</f>
        <v>3671611481598.7017</v>
      </c>
      <c r="EQU28" s="613">
        <f t="shared" ref="EQU28" si="1944">EQS$28*$C$28</f>
        <v>3708327596414.6885</v>
      </c>
      <c r="EQW28" s="613">
        <f t="shared" ref="EQW28" si="1945">EQU$28*$C$28</f>
        <v>3745410872378.8354</v>
      </c>
      <c r="EQY28" s="613">
        <f t="shared" ref="EQY28" si="1946">EQW$28*$C$28</f>
        <v>3782864981102.624</v>
      </c>
      <c r="ERA28" s="613">
        <f t="shared" ref="ERA28" si="1947">EQY$28*$C$28</f>
        <v>3820693630913.6504</v>
      </c>
      <c r="ERC28" s="613">
        <f t="shared" ref="ERC28" si="1948">ERA$28*$C$28</f>
        <v>3858900567222.7871</v>
      </c>
      <c r="ERE28" s="613">
        <f t="shared" ref="ERE28" si="1949">ERC$28*$C$28</f>
        <v>3897489572895.0151</v>
      </c>
      <c r="ERG28" s="613">
        <f t="shared" ref="ERG28" si="1950">ERE$28*$C$28</f>
        <v>3936464468623.9653</v>
      </c>
      <c r="ERI28" s="613">
        <f t="shared" ref="ERI28" si="1951">ERG$28*$C$28</f>
        <v>3975829113310.2051</v>
      </c>
      <c r="ERK28" s="613">
        <f t="shared" ref="ERK28" si="1952">ERI$28*$C$28</f>
        <v>4015587404443.3071</v>
      </c>
      <c r="ERM28" s="613">
        <f t="shared" ref="ERM28" si="1953">ERK$28*$C$28</f>
        <v>4055743278487.7402</v>
      </c>
      <c r="ERO28" s="613">
        <f t="shared" ref="ERO28" si="1954">ERM$28*$C$28</f>
        <v>4096300711272.6177</v>
      </c>
      <c r="ERQ28" s="613">
        <f t="shared" ref="ERQ28" si="1955">ERO$28*$C$28</f>
        <v>4137263718385.3438</v>
      </c>
      <c r="ERS28" s="613">
        <f t="shared" ref="ERS28" si="1956">ERQ$28*$C$28</f>
        <v>4178636355569.1973</v>
      </c>
      <c r="ERU28" s="613">
        <f t="shared" ref="ERU28" si="1957">ERS$28*$C$28</f>
        <v>4220422719124.8892</v>
      </c>
      <c r="ERW28" s="613">
        <f t="shared" ref="ERW28" si="1958">ERU$28*$C$28</f>
        <v>4262626946316.1382</v>
      </c>
      <c r="ERY28" s="613">
        <f t="shared" ref="ERY28" si="1959">ERW$28*$C$28</f>
        <v>4305253215779.2998</v>
      </c>
      <c r="ESA28" s="613">
        <f t="shared" ref="ESA28" si="1960">ERY$28*$C$28</f>
        <v>4348305747937.0928</v>
      </c>
      <c r="ESC28" s="613">
        <f t="shared" ref="ESC28" si="1961">ESA$28*$C$28</f>
        <v>4391788805416.4639</v>
      </c>
      <c r="ESE28" s="613">
        <f t="shared" ref="ESE28" si="1962">ESC$28*$C$28</f>
        <v>4435706693470.6289</v>
      </c>
      <c r="ESG28" s="613">
        <f t="shared" ref="ESG28" si="1963">ESE$28*$C$28</f>
        <v>4480063760405.335</v>
      </c>
      <c r="ESI28" s="613">
        <f t="shared" ref="ESI28" si="1964">ESG$28*$C$28</f>
        <v>4524864398009.3887</v>
      </c>
      <c r="ESK28" s="613">
        <f t="shared" ref="ESK28" si="1965">ESI$28*$C$28</f>
        <v>4570113041989.4824</v>
      </c>
      <c r="ESM28" s="613">
        <f t="shared" ref="ESM28" si="1966">ESK$28*$C$28</f>
        <v>4615814172409.377</v>
      </c>
      <c r="ESO28" s="613">
        <f t="shared" ref="ESO28" si="1967">ESM$28*$C$28</f>
        <v>4661972314133.4707</v>
      </c>
      <c r="ESQ28" s="613">
        <f t="shared" ref="ESQ28" si="1968">ESO$28*$C$28</f>
        <v>4708592037274.8057</v>
      </c>
      <c r="ESS28" s="613">
        <f t="shared" ref="ESS28" si="1969">ESQ$28*$C$28</f>
        <v>4755677957647.5537</v>
      </c>
      <c r="ESU28" s="613">
        <f t="shared" ref="ESU28" si="1970">ESS$28*$C$28</f>
        <v>4803234737224.0293</v>
      </c>
      <c r="ESW28" s="613">
        <f t="shared" ref="ESW28" si="1971">ESU$28*$C$28</f>
        <v>4851267084596.2695</v>
      </c>
      <c r="ESY28" s="613">
        <f t="shared" ref="ESY28" si="1972">ESW$28*$C$28</f>
        <v>4899779755442.2324</v>
      </c>
      <c r="ETA28" s="613">
        <f t="shared" ref="ETA28" si="1973">ESY$28*$C$28</f>
        <v>4948777552996.6553</v>
      </c>
      <c r="ETC28" s="613">
        <f t="shared" ref="ETC28" si="1974">ETA$28*$C$28</f>
        <v>4998265328526.6221</v>
      </c>
      <c r="ETE28" s="613">
        <f t="shared" ref="ETE28" si="1975">ETC$28*$C$28</f>
        <v>5048247981811.8887</v>
      </c>
      <c r="ETG28" s="613">
        <f t="shared" ref="ETG28" si="1976">ETE$28*$C$28</f>
        <v>5098730461630.0078</v>
      </c>
      <c r="ETI28" s="613">
        <f t="shared" ref="ETI28" si="1977">ETG$28*$C$28</f>
        <v>5149717766246.3076</v>
      </c>
      <c r="ETK28" s="613">
        <f t="shared" ref="ETK28" si="1978">ETI$28*$C$28</f>
        <v>5201214943908.7705</v>
      </c>
      <c r="ETM28" s="613">
        <f t="shared" ref="ETM28" si="1979">ETK$28*$C$28</f>
        <v>5253227093347.8584</v>
      </c>
      <c r="ETO28" s="613">
        <f t="shared" ref="ETO28" si="1980">ETM$28*$C$28</f>
        <v>5305759364281.3369</v>
      </c>
      <c r="ETQ28" s="613">
        <f t="shared" ref="ETQ28" si="1981">ETO$28*$C$28</f>
        <v>5358816957924.1504</v>
      </c>
      <c r="ETS28" s="613">
        <f t="shared" ref="ETS28" si="1982">ETQ$28*$C$28</f>
        <v>5412405127503.3916</v>
      </c>
      <c r="ETU28" s="613">
        <f t="shared" ref="ETU28" si="1983">ETS$28*$C$28</f>
        <v>5466529178778.4258</v>
      </c>
      <c r="ETW28" s="613">
        <f t="shared" ref="ETW28" si="1984">ETU$28*$C$28</f>
        <v>5521194470566.21</v>
      </c>
      <c r="ETY28" s="613">
        <f t="shared" ref="ETY28" si="1985">ETW$28*$C$28</f>
        <v>5576406415271.8721</v>
      </c>
      <c r="EUA28" s="613">
        <f t="shared" ref="EUA28" si="1986">ETY$28*$C$28</f>
        <v>5632170479424.5908</v>
      </c>
      <c r="EUC28" s="613">
        <f t="shared" ref="EUC28" si="1987">EUA$28*$C$28</f>
        <v>5688492184218.8369</v>
      </c>
      <c r="EUE28" s="613">
        <f t="shared" ref="EUE28" si="1988">EUC$28*$C$28</f>
        <v>5745377106061.0254</v>
      </c>
      <c r="EUG28" s="613">
        <f t="shared" ref="EUG28" si="1989">EUE$28*$C$28</f>
        <v>5802830877121.6357</v>
      </c>
      <c r="EUI28" s="613">
        <f t="shared" ref="EUI28" si="1990">EUG$28*$C$28</f>
        <v>5860859185892.8525</v>
      </c>
      <c r="EUK28" s="613">
        <f t="shared" ref="EUK28" si="1991">EUI$28*$C$28</f>
        <v>5919467777751.7813</v>
      </c>
      <c r="EUM28" s="613">
        <f t="shared" ref="EUM28" si="1992">EUK$28*$C$28</f>
        <v>5978662455529.2988</v>
      </c>
      <c r="EUO28" s="613">
        <f t="shared" ref="EUO28" si="1993">EUM$28*$C$28</f>
        <v>6038449080084.5918</v>
      </c>
      <c r="EUQ28" s="613">
        <f t="shared" ref="EUQ28" si="1994">EUO$28*$C$28</f>
        <v>6098833570885.4375</v>
      </c>
      <c r="EUS28" s="613">
        <f t="shared" ref="EUS28" si="1995">EUQ$28*$C$28</f>
        <v>6159821906594.292</v>
      </c>
      <c r="EUU28" s="613">
        <f t="shared" ref="EUU28" si="1996">EUS$28*$C$28</f>
        <v>6221420125660.2354</v>
      </c>
      <c r="EUW28" s="613">
        <f t="shared" ref="EUW28" si="1997">EUU$28*$C$28</f>
        <v>6283634326916.8379</v>
      </c>
      <c r="EUY28" s="613">
        <f t="shared" ref="EUY28" si="1998">EUW$28*$C$28</f>
        <v>6346470670186.0059</v>
      </c>
      <c r="EVA28" s="613">
        <f t="shared" ref="EVA28" si="1999">EUY$28*$C$28</f>
        <v>6409935376887.8662</v>
      </c>
      <c r="EVC28" s="613">
        <f t="shared" ref="EVC28" si="2000">EVA$28*$C$28</f>
        <v>6474034730656.7451</v>
      </c>
      <c r="EVE28" s="613">
        <f t="shared" ref="EVE28" si="2001">EVC$28*$C$28</f>
        <v>6538775077963.3125</v>
      </c>
      <c r="EVG28" s="613">
        <f t="shared" ref="EVG28" si="2002">EVE$28*$C$28</f>
        <v>6604162828742.9453</v>
      </c>
      <c r="EVI28" s="613">
        <f t="shared" ref="EVI28" si="2003">EVG$28*$C$28</f>
        <v>6670204457030.375</v>
      </c>
      <c r="EVK28" s="613">
        <f t="shared" ref="EVK28" si="2004">EVI$28*$C$28</f>
        <v>6736906501600.6787</v>
      </c>
      <c r="EVM28" s="613">
        <f t="shared" ref="EVM28" si="2005">EVK$28*$C$28</f>
        <v>6804275566616.6855</v>
      </c>
      <c r="EVO28" s="613">
        <f t="shared" ref="EVO28" si="2006">EVM$28*$C$28</f>
        <v>6872318322282.8525</v>
      </c>
      <c r="EVQ28" s="613">
        <f t="shared" ref="EVQ28" si="2007">EVO$28*$C$28</f>
        <v>6941041505505.6807</v>
      </c>
      <c r="EVS28" s="613">
        <f t="shared" ref="EVS28" si="2008">EVQ$28*$C$28</f>
        <v>7010451920560.7373</v>
      </c>
      <c r="EVU28" s="613">
        <f t="shared" ref="EVU28" si="2009">EVS$28*$C$28</f>
        <v>7080556439766.3447</v>
      </c>
      <c r="EVW28" s="613">
        <f t="shared" ref="EVW28" si="2010">EVU$28*$C$28</f>
        <v>7151362004164.0078</v>
      </c>
      <c r="EVY28" s="613">
        <f t="shared" ref="EVY28" si="2011">EVW$28*$C$28</f>
        <v>7222875624205.6484</v>
      </c>
      <c r="EWA28" s="613">
        <f t="shared" ref="EWA28" si="2012">EVY$28*$C$28</f>
        <v>7295104380447.7051</v>
      </c>
      <c r="EWC28" s="613">
        <f t="shared" ref="EWC28" si="2013">EWA$28*$C$28</f>
        <v>7368055424252.1826</v>
      </c>
      <c r="EWE28" s="613">
        <f t="shared" ref="EWE28" si="2014">EWC$28*$C$28</f>
        <v>7441735978494.7041</v>
      </c>
      <c r="EWG28" s="613">
        <f t="shared" ref="EWG28" si="2015">EWE$28*$C$28</f>
        <v>7516153338279.6514</v>
      </c>
      <c r="EWI28" s="613">
        <f t="shared" ref="EWI28" si="2016">EWG$28*$C$28</f>
        <v>7591314871662.4482</v>
      </c>
      <c r="EWK28" s="613">
        <f t="shared" ref="EWK28" si="2017">EWI$28*$C$28</f>
        <v>7667228020379.0732</v>
      </c>
      <c r="EWM28" s="613">
        <f t="shared" ref="EWM28" si="2018">EWK$28*$C$28</f>
        <v>7743900300582.8643</v>
      </c>
      <c r="EWO28" s="613">
        <f t="shared" ref="EWO28" si="2019">EWM$28*$C$28</f>
        <v>7821339303588.6934</v>
      </c>
      <c r="EWQ28" s="613">
        <f t="shared" ref="EWQ28" si="2020">EWO$28*$C$28</f>
        <v>7899552696624.5801</v>
      </c>
      <c r="EWS28" s="613">
        <f t="shared" ref="EWS28" si="2021">EWQ$28*$C$28</f>
        <v>7978548223590.8262</v>
      </c>
      <c r="EWU28" s="613">
        <f t="shared" ref="EWU28" si="2022">EWS$28*$C$28</f>
        <v>8058333705826.7344</v>
      </c>
      <c r="EWW28" s="613">
        <f t="shared" ref="EWW28" si="2023">EWU$28*$C$28</f>
        <v>8138917042885.002</v>
      </c>
      <c r="EWY28" s="613">
        <f t="shared" ref="EWY28" si="2024">EWW$28*$C$28</f>
        <v>8220306213313.8516</v>
      </c>
      <c r="EXA28" s="613">
        <f t="shared" ref="EXA28" si="2025">EWY$28*$C$28</f>
        <v>8302509275446.9902</v>
      </c>
      <c r="EXC28" s="613">
        <f t="shared" ref="EXC28" si="2026">EXA$28*$C$28</f>
        <v>8385534368201.46</v>
      </c>
      <c r="EXE28" s="613">
        <f t="shared" ref="EXE28" si="2027">EXC$28*$C$28</f>
        <v>8469389711883.4746</v>
      </c>
      <c r="EXG28" s="613">
        <f t="shared" ref="EXG28" si="2028">EXE$28*$C$28</f>
        <v>8554083609002.3096</v>
      </c>
      <c r="EXI28" s="613">
        <f t="shared" ref="EXI28" si="2029">EXG$28*$C$28</f>
        <v>8639624445092.333</v>
      </c>
      <c r="EXK28" s="613">
        <f t="shared" ref="EXK28" si="2030">EXI$28*$C$28</f>
        <v>8726020689543.2568</v>
      </c>
      <c r="EXM28" s="613">
        <f t="shared" ref="EXM28" si="2031">EXK$28*$C$28</f>
        <v>8813280896438.6895</v>
      </c>
      <c r="EXO28" s="613">
        <f t="shared" ref="EXO28" si="2032">EXM$28*$C$28</f>
        <v>8901413705403.0762</v>
      </c>
      <c r="EXQ28" s="613">
        <f t="shared" ref="EXQ28" si="2033">EXO$28*$C$28</f>
        <v>8990427842457.1074</v>
      </c>
      <c r="EXS28" s="613">
        <f t="shared" ref="EXS28" si="2034">EXQ$28*$C$28</f>
        <v>9080332120881.6777</v>
      </c>
      <c r="EXU28" s="613">
        <f t="shared" ref="EXU28" si="2035">EXS$28*$C$28</f>
        <v>9171135442090.4941</v>
      </c>
      <c r="EXW28" s="613">
        <f t="shared" ref="EXW28" si="2036">EXU$28*$C$28</f>
        <v>9262846796511.3984</v>
      </c>
      <c r="EXY28" s="613">
        <f t="shared" ref="EXY28" si="2037">EXW$28*$C$28</f>
        <v>9355475264476.5117</v>
      </c>
      <c r="EYA28" s="613">
        <f t="shared" ref="EYA28" si="2038">EXY$28*$C$28</f>
        <v>9449030017121.2773</v>
      </c>
      <c r="EYC28" s="613">
        <f t="shared" ref="EYC28" si="2039">EYA$28*$C$28</f>
        <v>9543520317292.4902</v>
      </c>
      <c r="EYE28" s="613">
        <f t="shared" ref="EYE28" si="2040">EYC$28*$C$28</f>
        <v>9638955520465.416</v>
      </c>
      <c r="EYG28" s="613">
        <f t="shared" ref="EYG28" si="2041">EYE$28*$C$28</f>
        <v>9735345075670.0703</v>
      </c>
      <c r="EYI28" s="613">
        <f t="shared" ref="EYI28" si="2042">EYG$28*$C$28</f>
        <v>9832698526426.7715</v>
      </c>
      <c r="EYK28" s="613">
        <f t="shared" ref="EYK28" si="2043">EYI$28*$C$28</f>
        <v>9931025511691.0391</v>
      </c>
      <c r="EYM28" s="613">
        <f t="shared" ref="EYM28" si="2044">EYK$28*$C$28</f>
        <v>10030335766807.949</v>
      </c>
      <c r="EYO28" s="613">
        <f t="shared" ref="EYO28" si="2045">EYM$28*$C$28</f>
        <v>10130639124476.029</v>
      </c>
      <c r="EYQ28" s="613">
        <f t="shared" ref="EYQ28" si="2046">EYO$28*$C$28</f>
        <v>10231945515720.789</v>
      </c>
      <c r="EYS28" s="613">
        <f t="shared" ref="EYS28" si="2047">EYQ$28*$C$28</f>
        <v>10334264970877.996</v>
      </c>
      <c r="EYU28" s="613">
        <f t="shared" ref="EYU28" si="2048">EYS$28*$C$28</f>
        <v>10437607620586.775</v>
      </c>
      <c r="EYW28" s="613">
        <f t="shared" ref="EYW28" si="2049">EYU$28*$C$28</f>
        <v>10541983696792.643</v>
      </c>
      <c r="EYY28" s="613">
        <f t="shared" ref="EYY28" si="2050">EYW$28*$C$28</f>
        <v>10647403533760.568</v>
      </c>
      <c r="EZA28" s="613">
        <f t="shared" ref="EZA28" si="2051">EYY$28*$C$28</f>
        <v>10753877569098.174</v>
      </c>
      <c r="EZC28" s="613">
        <f t="shared" ref="EZC28" si="2052">EZA$28*$C$28</f>
        <v>10861416344789.156</v>
      </c>
      <c r="EZE28" s="613">
        <f t="shared" ref="EZE28" si="2053">EZC$28*$C$28</f>
        <v>10970030508237.049</v>
      </c>
      <c r="EZG28" s="613">
        <f t="shared" ref="EZG28" si="2054">EZE$28*$C$28</f>
        <v>11079730813319.42</v>
      </c>
      <c r="EZI28" s="613">
        <f t="shared" ref="EZI28" si="2055">EZG$28*$C$28</f>
        <v>11190528121452.613</v>
      </c>
      <c r="EZK28" s="613">
        <f t="shared" ref="EZK28" si="2056">EZI$28*$C$28</f>
        <v>11302433402667.139</v>
      </c>
      <c r="EZM28" s="613">
        <f t="shared" ref="EZM28" si="2057">EZK$28*$C$28</f>
        <v>11415457736693.811</v>
      </c>
      <c r="EZO28" s="613">
        <f t="shared" ref="EZO28" si="2058">EZM$28*$C$28</f>
        <v>11529612314060.748</v>
      </c>
      <c r="EZQ28" s="613">
        <f t="shared" ref="EZQ28" si="2059">EZO$28*$C$28</f>
        <v>11644908437201.355</v>
      </c>
      <c r="EZS28" s="613">
        <f t="shared" ref="EZS28" si="2060">EZQ$28*$C$28</f>
        <v>11761357521573.369</v>
      </c>
      <c r="EZU28" s="613">
        <f t="shared" ref="EZU28" si="2061">EZS$28*$C$28</f>
        <v>11878971096789.104</v>
      </c>
      <c r="EZW28" s="613">
        <f t="shared" ref="EZW28" si="2062">EZU$28*$C$28</f>
        <v>11997760807756.994</v>
      </c>
      <c r="EZY28" s="613">
        <f t="shared" ref="EZY28" si="2063">EZW$28*$C$28</f>
        <v>12117738415834.564</v>
      </c>
      <c r="FAA28" s="613">
        <f t="shared" ref="FAA28" si="2064">EZY$28*$C$28</f>
        <v>12238915799992.91</v>
      </c>
      <c r="FAC28" s="613">
        <f t="shared" ref="FAC28" si="2065">FAA$28*$C$28</f>
        <v>12361304957992.84</v>
      </c>
      <c r="FAE28" s="613">
        <f t="shared" ref="FAE28" si="2066">FAC$28*$C$28</f>
        <v>12484918007572.768</v>
      </c>
      <c r="FAG28" s="613">
        <f t="shared" ref="FAG28" si="2067">FAE$28*$C$28</f>
        <v>12609767187648.496</v>
      </c>
      <c r="FAI28" s="613">
        <f t="shared" ref="FAI28" si="2068">FAG$28*$C$28</f>
        <v>12735864859524.98</v>
      </c>
      <c r="FAK28" s="613">
        <f t="shared" ref="FAK28" si="2069">FAI$28*$C$28</f>
        <v>12863223508120.23</v>
      </c>
      <c r="FAM28" s="613">
        <f t="shared" ref="FAM28" si="2070">FAK$28*$C$28</f>
        <v>12991855743201.434</v>
      </c>
      <c r="FAO28" s="613">
        <f t="shared" ref="FAO28" si="2071">FAM$28*$C$28</f>
        <v>13121774300633.447</v>
      </c>
      <c r="FAQ28" s="613">
        <f t="shared" ref="FAQ28" si="2072">FAO$28*$C$28</f>
        <v>13252992043639.781</v>
      </c>
      <c r="FAS28" s="613">
        <f t="shared" ref="FAS28" si="2073">FAQ$28*$C$28</f>
        <v>13385521964076.18</v>
      </c>
      <c r="FAU28" s="613">
        <f t="shared" ref="FAU28" si="2074">FAS$28*$C$28</f>
        <v>13519377183716.941</v>
      </c>
      <c r="FAW28" s="613">
        <f t="shared" ref="FAW28" si="2075">FAU$28*$C$28</f>
        <v>13654570955554.111</v>
      </c>
      <c r="FAY28" s="613">
        <f t="shared" ref="FAY28" si="2076">FAW$28*$C$28</f>
        <v>13791116665109.652</v>
      </c>
      <c r="FBA28" s="613">
        <f t="shared" ref="FBA28" si="2077">FAY$28*$C$28</f>
        <v>13929027831760.748</v>
      </c>
      <c r="FBC28" s="613">
        <f t="shared" ref="FBC28" si="2078">FBA$28*$C$28</f>
        <v>14068318110078.355</v>
      </c>
      <c r="FBE28" s="613">
        <f t="shared" ref="FBE28" si="2079">FBC$28*$C$28</f>
        <v>14209001291179.139</v>
      </c>
      <c r="FBG28" s="613">
        <f t="shared" ref="FBG28" si="2080">FBE$28*$C$28</f>
        <v>14351091304090.93</v>
      </c>
      <c r="FBI28" s="613">
        <f t="shared" ref="FBI28" si="2081">FBG$28*$C$28</f>
        <v>14494602217131.84</v>
      </c>
      <c r="FBK28" s="613">
        <f t="shared" ref="FBK28" si="2082">FBI$28*$C$28</f>
        <v>14639548239303.158</v>
      </c>
      <c r="FBM28" s="613">
        <f t="shared" ref="FBM28" si="2083">FBK$28*$C$28</f>
        <v>14785943721696.189</v>
      </c>
      <c r="FBO28" s="613">
        <f t="shared" ref="FBO28" si="2084">FBM$28*$C$28</f>
        <v>14933803158913.152</v>
      </c>
      <c r="FBQ28" s="613">
        <f t="shared" ref="FBQ28" si="2085">FBO$28*$C$28</f>
        <v>15083141190502.283</v>
      </c>
      <c r="FBS28" s="613">
        <f t="shared" ref="FBS28" si="2086">FBQ$28*$C$28</f>
        <v>15233972602407.307</v>
      </c>
      <c r="FBU28" s="613">
        <f t="shared" ref="FBU28" si="2087">FBS$28*$C$28</f>
        <v>15386312328431.379</v>
      </c>
      <c r="FBW28" s="613">
        <f t="shared" ref="FBW28" si="2088">FBU$28*$C$28</f>
        <v>15540175451715.693</v>
      </c>
      <c r="FBY28" s="613">
        <f t="shared" ref="FBY28" si="2089">FBW$28*$C$28</f>
        <v>15695577206232.85</v>
      </c>
      <c r="FCA28" s="613">
        <f t="shared" ref="FCA28" si="2090">FBY$28*$C$28</f>
        <v>15852532978295.178</v>
      </c>
      <c r="FCC28" s="613">
        <f t="shared" ref="FCC28" si="2091">FCA$28*$C$28</f>
        <v>16011058308078.129</v>
      </c>
      <c r="FCE28" s="613">
        <f t="shared" ref="FCE28" si="2092">FCC$28*$C$28</f>
        <v>16171168891158.91</v>
      </c>
      <c r="FCG28" s="613">
        <f t="shared" ref="FCG28" si="2093">FCE$28*$C$28</f>
        <v>16332880580070.5</v>
      </c>
      <c r="FCI28" s="613">
        <f t="shared" ref="FCI28" si="2094">FCG$28*$C$28</f>
        <v>16496209385871.205</v>
      </c>
      <c r="FCK28" s="613">
        <f t="shared" ref="FCK28" si="2095">FCI$28*$C$28</f>
        <v>16661171479729.918</v>
      </c>
      <c r="FCM28" s="613">
        <f t="shared" ref="FCM28" si="2096">FCK$28*$C$28</f>
        <v>16827783194527.217</v>
      </c>
      <c r="FCO28" s="613">
        <f t="shared" ref="FCO28" si="2097">FCM$28*$C$28</f>
        <v>16996061026472.488</v>
      </c>
      <c r="FCQ28" s="613">
        <f t="shared" ref="FCQ28" si="2098">FCO$28*$C$28</f>
        <v>17166021636737.213</v>
      </c>
      <c r="FCS28" s="613">
        <f t="shared" ref="FCS28" si="2099">FCQ$28*$C$28</f>
        <v>17337681853104.586</v>
      </c>
      <c r="FCU28" s="613">
        <f t="shared" ref="FCU28" si="2100">FCS$28*$C$28</f>
        <v>17511058671635.633</v>
      </c>
      <c r="FCW28" s="613">
        <f t="shared" ref="FCW28" si="2101">FCU$28*$C$28</f>
        <v>17686169258351.988</v>
      </c>
      <c r="FCY28" s="613">
        <f t="shared" ref="FCY28" si="2102">FCW$28*$C$28</f>
        <v>17863030950935.508</v>
      </c>
      <c r="FDA28" s="613">
        <f t="shared" ref="FDA28" si="2103">FCY$28*$C$28</f>
        <v>18041661260444.863</v>
      </c>
      <c r="FDC28" s="613">
        <f t="shared" ref="FDC28" si="2104">FDA$28*$C$28</f>
        <v>18222077873049.313</v>
      </c>
      <c r="FDE28" s="613">
        <f t="shared" ref="FDE28" si="2105">FDC$28*$C$28</f>
        <v>18404298651779.805</v>
      </c>
      <c r="FDG28" s="613">
        <f t="shared" ref="FDG28" si="2106">FDE$28*$C$28</f>
        <v>18588341638297.602</v>
      </c>
      <c r="FDI28" s="613">
        <f t="shared" ref="FDI28" si="2107">FDG$28*$C$28</f>
        <v>18774225054680.578</v>
      </c>
      <c r="FDK28" s="613">
        <f t="shared" ref="FDK28" si="2108">FDI$28*$C$28</f>
        <v>18961967305227.383</v>
      </c>
      <c r="FDM28" s="613">
        <f t="shared" ref="FDM28" si="2109">FDK$28*$C$28</f>
        <v>19151586978279.656</v>
      </c>
      <c r="FDO28" s="613">
        <f t="shared" ref="FDO28" si="2110">FDM$28*$C$28</f>
        <v>19343102848062.453</v>
      </c>
      <c r="FDQ28" s="613">
        <f t="shared" ref="FDQ28" si="2111">FDO$28*$C$28</f>
        <v>19536533876543.078</v>
      </c>
      <c r="FDS28" s="613">
        <f t="shared" ref="FDS28" si="2112">FDQ$28*$C$28</f>
        <v>19731899215308.508</v>
      </c>
      <c r="FDU28" s="613">
        <f t="shared" ref="FDU28" si="2113">FDS$28*$C$28</f>
        <v>19929218207461.594</v>
      </c>
      <c r="FDW28" s="613">
        <f t="shared" ref="FDW28" si="2114">FDU$28*$C$28</f>
        <v>20128510389536.211</v>
      </c>
      <c r="FDY28" s="613">
        <f t="shared" ref="FDY28" si="2115">FDW$28*$C$28</f>
        <v>20329795493431.574</v>
      </c>
      <c r="FEA28" s="613">
        <f t="shared" ref="FEA28" si="2116">FDY$28*$C$28</f>
        <v>20533093448365.891</v>
      </c>
      <c r="FEC28" s="613">
        <f t="shared" ref="FEC28" si="2117">FEA$28*$C$28</f>
        <v>20738424382849.551</v>
      </c>
      <c r="FEE28" s="613">
        <f t="shared" ref="FEE28" si="2118">FEC$28*$C$28</f>
        <v>20945808626678.047</v>
      </c>
      <c r="FEG28" s="613">
        <f t="shared" ref="FEG28" si="2119">FEE$28*$C$28</f>
        <v>21155266712944.828</v>
      </c>
      <c r="FEI28" s="613">
        <f t="shared" ref="FEI28" si="2120">FEG$28*$C$28</f>
        <v>21366819380074.277</v>
      </c>
      <c r="FEK28" s="613">
        <f t="shared" ref="FEK28" si="2121">FEI$28*$C$28</f>
        <v>21580487573875.02</v>
      </c>
      <c r="FEM28" s="613">
        <f t="shared" ref="FEM28" si="2122">FEK$28*$C$28</f>
        <v>21796292449613.77</v>
      </c>
      <c r="FEO28" s="613">
        <f t="shared" ref="FEO28" si="2123">FEM$28*$C$28</f>
        <v>22014255374109.906</v>
      </c>
      <c r="FEQ28" s="613">
        <f t="shared" ref="FEQ28" si="2124">FEO$28*$C$28</f>
        <v>22234397927851.004</v>
      </c>
      <c r="FES28" s="613">
        <f t="shared" ref="FES28" si="2125">FEQ$28*$C$28</f>
        <v>22456741907129.516</v>
      </c>
      <c r="FEU28" s="613">
        <f t="shared" ref="FEU28" si="2126">FES$28*$C$28</f>
        <v>22681309326200.813</v>
      </c>
      <c r="FEW28" s="613">
        <f t="shared" ref="FEW28" si="2127">FEU$28*$C$28</f>
        <v>22908122419462.82</v>
      </c>
      <c r="FEY28" s="613">
        <f t="shared" ref="FEY28" si="2128">FEW$28*$C$28</f>
        <v>23137203643657.449</v>
      </c>
      <c r="FFA28" s="613">
        <f t="shared" ref="FFA28" si="2129">FEY$28*$C$28</f>
        <v>23368575680094.023</v>
      </c>
      <c r="FFC28" s="613">
        <f t="shared" ref="FFC28" si="2130">FFA$28*$C$28</f>
        <v>23602261436894.965</v>
      </c>
      <c r="FFE28" s="613">
        <f t="shared" ref="FFE28" si="2131">FFC$28*$C$28</f>
        <v>23838284051263.914</v>
      </c>
      <c r="FFG28" s="613">
        <f t="shared" ref="FFG28" si="2132">FFE$28*$C$28</f>
        <v>24076666891776.555</v>
      </c>
      <c r="FFI28" s="613">
        <f t="shared" ref="FFI28" si="2133">FFG$28*$C$28</f>
        <v>24317433560694.32</v>
      </c>
      <c r="FFK28" s="613">
        <f t="shared" ref="FFK28" si="2134">FFI$28*$C$28</f>
        <v>24560607896301.266</v>
      </c>
      <c r="FFM28" s="613">
        <f t="shared" ref="FFM28" si="2135">FFK$28*$C$28</f>
        <v>24806213975264.277</v>
      </c>
      <c r="FFO28" s="613">
        <f t="shared" ref="FFO28" si="2136">FFM$28*$C$28</f>
        <v>25054276115016.922</v>
      </c>
      <c r="FFQ28" s="613">
        <f t="shared" ref="FFQ28" si="2137">FFO$28*$C$28</f>
        <v>25304818876167.09</v>
      </c>
      <c r="FFS28" s="613">
        <f t="shared" ref="FFS28" si="2138">FFQ$28*$C$28</f>
        <v>25557867064928.762</v>
      </c>
      <c r="FFU28" s="613">
        <f t="shared" ref="FFU28" si="2139">FFS$28*$C$28</f>
        <v>25813445735578.051</v>
      </c>
      <c r="FFW28" s="613">
        <f t="shared" ref="FFW28" si="2140">FFU$28*$C$28</f>
        <v>26071580192933.832</v>
      </c>
      <c r="FFY28" s="613">
        <f t="shared" ref="FFY28" si="2141">FFW$28*$C$28</f>
        <v>26332295994863.172</v>
      </c>
      <c r="FGA28" s="613">
        <f t="shared" ref="FGA28" si="2142">FFY$28*$C$28</f>
        <v>26595618954811.805</v>
      </c>
      <c r="FGC28" s="613">
        <f t="shared" ref="FGC28" si="2143">FGA$28*$C$28</f>
        <v>26861575144359.922</v>
      </c>
      <c r="FGE28" s="613">
        <f t="shared" ref="FGE28" si="2144">FGC$28*$C$28</f>
        <v>27130190895803.52</v>
      </c>
      <c r="FGG28" s="613">
        <f t="shared" ref="FGG28" si="2145">FGE$28*$C$28</f>
        <v>27401492804761.555</v>
      </c>
      <c r="FGI28" s="613">
        <f t="shared" ref="FGI28" si="2146">FGG$28*$C$28</f>
        <v>27675507732809.172</v>
      </c>
      <c r="FGK28" s="613">
        <f t="shared" ref="FGK28" si="2147">FGI$28*$C$28</f>
        <v>27952262810137.266</v>
      </c>
      <c r="FGM28" s="613">
        <f t="shared" ref="FGM28" si="2148">FGK$28*$C$28</f>
        <v>28231785438238.637</v>
      </c>
      <c r="FGO28" s="613">
        <f t="shared" ref="FGO28" si="2149">FGM$28*$C$28</f>
        <v>28514103292621.023</v>
      </c>
      <c r="FGQ28" s="613">
        <f t="shared" ref="FGQ28" si="2150">FGO$28*$C$28</f>
        <v>28799244325547.234</v>
      </c>
      <c r="FGS28" s="613">
        <f t="shared" ref="FGS28" si="2151">FGQ$28*$C$28</f>
        <v>29087236768802.707</v>
      </c>
      <c r="FGU28" s="613">
        <f t="shared" ref="FGU28" si="2152">FGS$28*$C$28</f>
        <v>29378109136490.734</v>
      </c>
      <c r="FGW28" s="613">
        <f t="shared" ref="FGW28" si="2153">FGU$28*$C$28</f>
        <v>29671890227855.641</v>
      </c>
      <c r="FGY28" s="613">
        <f t="shared" ref="FGY28" si="2154">FGW$28*$C$28</f>
        <v>29968609130134.199</v>
      </c>
      <c r="FHA28" s="613">
        <f t="shared" ref="FHA28" si="2155">FGY$28*$C$28</f>
        <v>30268295221435.543</v>
      </c>
      <c r="FHC28" s="613">
        <f t="shared" ref="FHC28" si="2156">FHA$28*$C$28</f>
        <v>30570978173649.898</v>
      </c>
      <c r="FHE28" s="613">
        <f t="shared" ref="FHE28" si="2157">FHC$28*$C$28</f>
        <v>30876687955386.398</v>
      </c>
      <c r="FHG28" s="613">
        <f t="shared" ref="FHG28" si="2158">FHE$28*$C$28</f>
        <v>31185454834940.262</v>
      </c>
      <c r="FHI28" s="613">
        <f t="shared" ref="FHI28" si="2159">FHG$28*$C$28</f>
        <v>31497309383289.664</v>
      </c>
      <c r="FHK28" s="613">
        <f t="shared" ref="FHK28" si="2160">FHI$28*$C$28</f>
        <v>31812282477122.563</v>
      </c>
      <c r="FHM28" s="613">
        <f t="shared" ref="FHM28" si="2161">FHK$28*$C$28</f>
        <v>32130405301893.789</v>
      </c>
      <c r="FHO28" s="613">
        <f t="shared" ref="FHO28" si="2162">FHM$28*$C$28</f>
        <v>32451709354912.727</v>
      </c>
      <c r="FHQ28" s="613">
        <f t="shared" ref="FHQ28" si="2163">FHO$28*$C$28</f>
        <v>32776226448461.855</v>
      </c>
      <c r="FHS28" s="613">
        <f t="shared" ref="FHS28" si="2164">FHQ$28*$C$28</f>
        <v>33103988712946.473</v>
      </c>
      <c r="FHU28" s="613">
        <f t="shared" ref="FHU28" si="2165">FHS$28*$C$28</f>
        <v>33435028600075.938</v>
      </c>
      <c r="FHW28" s="613">
        <f t="shared" ref="FHW28" si="2166">FHU$28*$C$28</f>
        <v>33769378886076.695</v>
      </c>
      <c r="FHY28" s="613">
        <f t="shared" ref="FHY28" si="2167">FHW$28*$C$28</f>
        <v>34107072674937.461</v>
      </c>
      <c r="FIA28" s="613">
        <f t="shared" ref="FIA28" si="2168">FHY$28*$C$28</f>
        <v>34448143401686.836</v>
      </c>
      <c r="FIC28" s="613">
        <f t="shared" ref="FIC28" si="2169">FIA$28*$C$28</f>
        <v>34792624835703.703</v>
      </c>
      <c r="FIE28" s="613">
        <f t="shared" ref="FIE28" si="2170">FIC$28*$C$28</f>
        <v>35140551084060.742</v>
      </c>
      <c r="FIG28" s="613">
        <f t="shared" ref="FIG28" si="2171">FIE$28*$C$28</f>
        <v>35491956594901.352</v>
      </c>
      <c r="FII28" s="613">
        <f t="shared" ref="FII28" si="2172">FIG$28*$C$28</f>
        <v>35846876160850.367</v>
      </c>
      <c r="FIK28" s="613">
        <f t="shared" ref="FIK28" si="2173">FII$28*$C$28</f>
        <v>36205344922458.875</v>
      </c>
      <c r="FIM28" s="613">
        <f t="shared" ref="FIM28" si="2174">FIK$28*$C$28</f>
        <v>36567398371683.461</v>
      </c>
      <c r="FIO28" s="613">
        <f t="shared" ref="FIO28" si="2175">FIM$28*$C$28</f>
        <v>36933072355400.297</v>
      </c>
      <c r="FIQ28" s="613">
        <f t="shared" ref="FIQ28" si="2176">FIO$28*$C$28</f>
        <v>37302403078954.297</v>
      </c>
      <c r="FIS28" s="613">
        <f t="shared" ref="FIS28" si="2177">FIQ$28*$C$28</f>
        <v>37675427109743.844</v>
      </c>
      <c r="FIU28" s="613">
        <f t="shared" ref="FIU28" si="2178">FIS$28*$C$28</f>
        <v>38052181380841.281</v>
      </c>
      <c r="FIW28" s="613">
        <f t="shared" ref="FIW28" si="2179">FIU$28*$C$28</f>
        <v>38432703194649.695</v>
      </c>
      <c r="FIY28" s="613">
        <f t="shared" ref="FIY28" si="2180">FIW$28*$C$28</f>
        <v>38817030226596.195</v>
      </c>
      <c r="FJA28" s="613">
        <f t="shared" ref="FJA28" si="2181">FIY$28*$C$28</f>
        <v>39205200528862.156</v>
      </c>
      <c r="FJC28" s="613">
        <f t="shared" ref="FJC28" si="2182">FJA$28*$C$28</f>
        <v>39597252534150.781</v>
      </c>
      <c r="FJE28" s="613">
        <f t="shared" ref="FJE28" si="2183">FJC$28*$C$28</f>
        <v>39993225059492.289</v>
      </c>
      <c r="FJG28" s="613">
        <f t="shared" ref="FJG28" si="2184">FJE$28*$C$28</f>
        <v>40393157310087.211</v>
      </c>
      <c r="FJI28" s="613">
        <f t="shared" ref="FJI28" si="2185">FJG$28*$C$28</f>
        <v>40797088883188.086</v>
      </c>
      <c r="FJK28" s="613">
        <f t="shared" ref="FJK28" si="2186">FJI$28*$C$28</f>
        <v>41205059772019.969</v>
      </c>
      <c r="FJM28" s="613">
        <f t="shared" ref="FJM28" si="2187">FJK$28*$C$28</f>
        <v>41617110369740.172</v>
      </c>
      <c r="FJO28" s="613">
        <f t="shared" ref="FJO28" si="2188">FJM$28*$C$28</f>
        <v>42033281473437.57</v>
      </c>
      <c r="FJQ28" s="613">
        <f t="shared" ref="FJQ28" si="2189">FJO$28*$C$28</f>
        <v>42453614288171.945</v>
      </c>
      <c r="FJS28" s="613">
        <f t="shared" ref="FJS28" si="2190">FJQ$28*$C$28</f>
        <v>42878150431053.664</v>
      </c>
      <c r="FJU28" s="613">
        <f t="shared" ref="FJU28" si="2191">FJS$28*$C$28</f>
        <v>43306931935364.203</v>
      </c>
      <c r="FJW28" s="613">
        <f t="shared" ref="FJW28" si="2192">FJU$28*$C$28</f>
        <v>43740001254717.844</v>
      </c>
      <c r="FJY28" s="613">
        <f t="shared" ref="FJY28" si="2193">FJW$28*$C$28</f>
        <v>44177401267265.023</v>
      </c>
      <c r="FKA28" s="613">
        <f t="shared" ref="FKA28" si="2194">FJY$28*$C$28</f>
        <v>44619175279937.672</v>
      </c>
      <c r="FKC28" s="613">
        <f t="shared" ref="FKC28" si="2195">FKA$28*$C$28</f>
        <v>45065367032737.047</v>
      </c>
      <c r="FKE28" s="613">
        <f t="shared" ref="FKE28" si="2196">FKC$28*$C$28</f>
        <v>45516020703064.414</v>
      </c>
      <c r="FKG28" s="613">
        <f t="shared" ref="FKG28" si="2197">FKE$28*$C$28</f>
        <v>45971180910095.063</v>
      </c>
      <c r="FKI28" s="613">
        <f t="shared" ref="FKI28" si="2198">FKG$28*$C$28</f>
        <v>46430892719196.016</v>
      </c>
      <c r="FKK28" s="613">
        <f t="shared" ref="FKK28" si="2199">FKI$28*$C$28</f>
        <v>46895201646387.977</v>
      </c>
      <c r="FKM28" s="613">
        <f t="shared" ref="FKM28" si="2200">FKK$28*$C$28</f>
        <v>47364153662851.859</v>
      </c>
      <c r="FKO28" s="613">
        <f t="shared" ref="FKO28" si="2201">FKM$28*$C$28</f>
        <v>47837795199480.375</v>
      </c>
      <c r="FKQ28" s="613">
        <f t="shared" ref="FKQ28" si="2202">FKO$28*$C$28</f>
        <v>48316173151475.18</v>
      </c>
      <c r="FKS28" s="613">
        <f t="shared" ref="FKS28" si="2203">FKQ$28*$C$28</f>
        <v>48799334882989.93</v>
      </c>
      <c r="FKU28" s="613">
        <f t="shared" ref="FKU28" si="2204">FKS$28*$C$28</f>
        <v>49287328231819.828</v>
      </c>
      <c r="FKW28" s="613">
        <f t="shared" ref="FKW28" si="2205">FKU$28*$C$28</f>
        <v>49780201514138.023</v>
      </c>
      <c r="FKY28" s="613">
        <f t="shared" ref="FKY28" si="2206">FKW$28*$C$28</f>
        <v>50278003529279.406</v>
      </c>
      <c r="FLA28" s="613">
        <f t="shared" ref="FLA28" si="2207">FKY$28*$C$28</f>
        <v>50780783564572.203</v>
      </c>
      <c r="FLC28" s="613">
        <f t="shared" ref="FLC28" si="2208">FLA$28*$C$28</f>
        <v>51288591400217.922</v>
      </c>
      <c r="FLE28" s="613">
        <f t="shared" ref="FLE28" si="2209">FLC$28*$C$28</f>
        <v>51801477314220.102</v>
      </c>
      <c r="FLG28" s="613">
        <f t="shared" ref="FLG28" si="2210">FLE$28*$C$28</f>
        <v>52319492087362.305</v>
      </c>
      <c r="FLI28" s="613">
        <f t="shared" ref="FLI28" si="2211">FLG$28*$C$28</f>
        <v>52842687008235.93</v>
      </c>
      <c r="FLK28" s="613">
        <f t="shared" ref="FLK28" si="2212">FLI$28*$C$28</f>
        <v>53371113878318.289</v>
      </c>
      <c r="FLM28" s="613">
        <f t="shared" ref="FLM28" si="2213">FLK$28*$C$28</f>
        <v>53904825017101.469</v>
      </c>
      <c r="FLO28" s="613">
        <f t="shared" ref="FLO28" si="2214">FLM$28*$C$28</f>
        <v>54443873267272.484</v>
      </c>
      <c r="FLQ28" s="613">
        <f t="shared" ref="FLQ28" si="2215">FLO$28*$C$28</f>
        <v>54988311999945.211</v>
      </c>
      <c r="FLS28" s="613">
        <f t="shared" ref="FLS28" si="2216">FLQ$28*$C$28</f>
        <v>55538195119944.664</v>
      </c>
      <c r="FLU28" s="613">
        <f t="shared" ref="FLU28" si="2217">FLS$28*$C$28</f>
        <v>56093577071144.109</v>
      </c>
      <c r="FLW28" s="613">
        <f t="shared" ref="FLW28" si="2218">FLU$28*$C$28</f>
        <v>56654512841855.555</v>
      </c>
      <c r="FLY28" s="613">
        <f t="shared" ref="FLY28" si="2219">FLW$28*$C$28</f>
        <v>57221057970274.109</v>
      </c>
      <c r="FMA28" s="613">
        <f t="shared" ref="FMA28" si="2220">FLY$28*$C$28</f>
        <v>57793268549976.852</v>
      </c>
      <c r="FMC28" s="613">
        <f t="shared" ref="FMC28" si="2221">FMA$28*$C$28</f>
        <v>58371201235476.617</v>
      </c>
      <c r="FME28" s="613">
        <f t="shared" ref="FME28" si="2222">FMC$28*$C$28</f>
        <v>58954913247831.383</v>
      </c>
      <c r="FMG28" s="613">
        <f t="shared" ref="FMG28" si="2223">FME$28*$C$28</f>
        <v>59544462380309.695</v>
      </c>
      <c r="FMI28" s="613">
        <f t="shared" ref="FMI28" si="2224">FMG$28*$C$28</f>
        <v>60139907004112.789</v>
      </c>
      <c r="FMK28" s="613">
        <f t="shared" ref="FMK28" si="2225">FMI$28*$C$28</f>
        <v>60741306074153.914</v>
      </c>
      <c r="FMM28" s="613">
        <f t="shared" ref="FMM28" si="2226">FMK$28*$C$28</f>
        <v>61348719134895.453</v>
      </c>
      <c r="FMO28" s="613">
        <f t="shared" ref="FMO28" si="2227">FMM$28*$C$28</f>
        <v>61962206326244.406</v>
      </c>
      <c r="FMQ28" s="613">
        <f t="shared" ref="FMQ28" si="2228">FMO$28*$C$28</f>
        <v>62581828389506.852</v>
      </c>
      <c r="FMS28" s="613">
        <f t="shared" ref="FMS28" si="2229">FMQ$28*$C$28</f>
        <v>63207646673401.922</v>
      </c>
      <c r="FMU28" s="613">
        <f t="shared" ref="FMU28" si="2230">FMS$28*$C$28</f>
        <v>63839723140135.945</v>
      </c>
      <c r="FMW28" s="613">
        <f t="shared" ref="FMW28" si="2231">FMU$28*$C$28</f>
        <v>64478120371537.305</v>
      </c>
      <c r="FMY28" s="613">
        <f t="shared" ref="FMY28" si="2232">FMW$28*$C$28</f>
        <v>65122901575252.68</v>
      </c>
      <c r="FNA28" s="613">
        <f t="shared" ref="FNA28" si="2233">FMY$28*$C$28</f>
        <v>65774130591005.211</v>
      </c>
      <c r="FNC28" s="613">
        <f t="shared" ref="FNC28" si="2234">FNA$28*$C$28</f>
        <v>66431871896915.266</v>
      </c>
      <c r="FNE28" s="613">
        <f t="shared" ref="FNE28" si="2235">FNC$28*$C$28</f>
        <v>67096190615884.422</v>
      </c>
      <c r="FNG28" s="613">
        <f t="shared" ref="FNG28" si="2236">FNE$28*$C$28</f>
        <v>67767152522043.266</v>
      </c>
      <c r="FNI28" s="613">
        <f t="shared" ref="FNI28" si="2237">FNG$28*$C$28</f>
        <v>68444824047263.695</v>
      </c>
      <c r="FNK28" s="613">
        <f t="shared" ref="FNK28" si="2238">FNI$28*$C$28</f>
        <v>69129272287736.336</v>
      </c>
      <c r="FNM28" s="613">
        <f t="shared" ref="FNM28" si="2239">FNK$28*$C$28</f>
        <v>69820565010613.703</v>
      </c>
      <c r="FNO28" s="613">
        <f t="shared" ref="FNO28" si="2240">FNM$28*$C$28</f>
        <v>70518770660719.844</v>
      </c>
      <c r="FNQ28" s="613">
        <f t="shared" ref="FNQ28" si="2241">FNO$28*$C$28</f>
        <v>71223958367327.047</v>
      </c>
      <c r="FNS28" s="613">
        <f t="shared" ref="FNS28" si="2242">FNQ$28*$C$28</f>
        <v>71936197951000.313</v>
      </c>
      <c r="FNU28" s="613">
        <f t="shared" ref="FNU28" si="2243">FNS$28*$C$28</f>
        <v>72655559930510.313</v>
      </c>
      <c r="FNW28" s="613">
        <f t="shared" ref="FNW28" si="2244">FNU$28*$C$28</f>
        <v>73382115529815.422</v>
      </c>
      <c r="FNY28" s="613">
        <f t="shared" ref="FNY28" si="2245">FNW$28*$C$28</f>
        <v>74115936685113.578</v>
      </c>
      <c r="FOA28" s="613">
        <f t="shared" ref="FOA28" si="2246">FNY$28*$C$28</f>
        <v>74857096051964.719</v>
      </c>
      <c r="FOC28" s="613">
        <f t="shared" ref="FOC28" si="2247">FOA$28*$C$28</f>
        <v>75605667012484.359</v>
      </c>
      <c r="FOE28" s="613">
        <f t="shared" ref="FOE28" si="2248">FOC$28*$C$28</f>
        <v>76361723682609.203</v>
      </c>
      <c r="FOG28" s="613">
        <f t="shared" ref="FOG28" si="2249">FOE$28*$C$28</f>
        <v>77125340919435.297</v>
      </c>
      <c r="FOI28" s="613">
        <f t="shared" ref="FOI28" si="2250">FOG$28*$C$28</f>
        <v>77896594328629.656</v>
      </c>
      <c r="FOK28" s="613">
        <f t="shared" ref="FOK28" si="2251">FOI$28*$C$28</f>
        <v>78675560271915.953</v>
      </c>
      <c r="FOM28" s="613">
        <f t="shared" ref="FOM28" si="2252">FOK$28*$C$28</f>
        <v>79462315874635.109</v>
      </c>
      <c r="FOO28" s="613">
        <f t="shared" ref="FOO28" si="2253">FOM$28*$C$28</f>
        <v>80256939033381.469</v>
      </c>
      <c r="FOQ28" s="613">
        <f t="shared" ref="FOQ28" si="2254">FOO$28*$C$28</f>
        <v>81059508423715.281</v>
      </c>
      <c r="FOS28" s="613">
        <f t="shared" ref="FOS28" si="2255">FOQ$28*$C$28</f>
        <v>81870103507952.438</v>
      </c>
      <c r="FOU28" s="613">
        <f t="shared" ref="FOU28" si="2256">FOS$28*$C$28</f>
        <v>82688804543031.969</v>
      </c>
      <c r="FOW28" s="613">
        <f t="shared" ref="FOW28" si="2257">FOU$28*$C$28</f>
        <v>83515692588462.297</v>
      </c>
      <c r="FOY28" s="613">
        <f t="shared" ref="FOY28" si="2258">FOW$28*$C$28</f>
        <v>84350849514346.922</v>
      </c>
      <c r="FPA28" s="613">
        <f t="shared" ref="FPA28" si="2259">FOY$28*$C$28</f>
        <v>85194358009490.391</v>
      </c>
      <c r="FPC28" s="613">
        <f t="shared" ref="FPC28" si="2260">FPA$28*$C$28</f>
        <v>86046301589585.297</v>
      </c>
      <c r="FPE28" s="613">
        <f t="shared" ref="FPE28" si="2261">FPC$28*$C$28</f>
        <v>86906764605481.156</v>
      </c>
      <c r="FPG28" s="613">
        <f t="shared" ref="FPG28" si="2262">FPE$28*$C$28</f>
        <v>87775832251535.969</v>
      </c>
      <c r="FPI28" s="613">
        <f t="shared" ref="FPI28" si="2263">FPG$28*$C$28</f>
        <v>88653590574051.328</v>
      </c>
      <c r="FPK28" s="613">
        <f t="shared" ref="FPK28" si="2264">FPI$28*$C$28</f>
        <v>89540126479791.844</v>
      </c>
      <c r="FPM28" s="613">
        <f t="shared" ref="FPM28" si="2265">FPK$28*$C$28</f>
        <v>90435527744589.766</v>
      </c>
      <c r="FPO28" s="613">
        <f t="shared" ref="FPO28" si="2266">FPM$28*$C$28</f>
        <v>91339883022035.672</v>
      </c>
      <c r="FPQ28" s="613">
        <f t="shared" ref="FPQ28" si="2267">FPO$28*$C$28</f>
        <v>92253281852256.031</v>
      </c>
      <c r="FPS28" s="613">
        <f t="shared" ref="FPS28" si="2268">FPQ$28*$C$28</f>
        <v>93175814670778.594</v>
      </c>
      <c r="FPU28" s="613">
        <f t="shared" ref="FPU28" si="2269">FPS$28*$C$28</f>
        <v>94107572817486.375</v>
      </c>
      <c r="FPW28" s="613">
        <f t="shared" ref="FPW28" si="2270">FPU$28*$C$28</f>
        <v>95048648545661.234</v>
      </c>
      <c r="FPY28" s="613">
        <f t="shared" ref="FPY28" si="2271">FPW$28*$C$28</f>
        <v>95999135031117.844</v>
      </c>
      <c r="FQA28" s="613">
        <f t="shared" ref="FQA28" si="2272">FPY$28*$C$28</f>
        <v>96959126381429.016</v>
      </c>
      <c r="FQC28" s="613">
        <f t="shared" ref="FQC28" si="2273">FQA$28*$C$28</f>
        <v>97928717645243.313</v>
      </c>
      <c r="FQE28" s="613">
        <f t="shared" ref="FQE28" si="2274">FQC$28*$C$28</f>
        <v>98908004821695.75</v>
      </c>
      <c r="FQG28" s="613">
        <f t="shared" ref="FQG28" si="2275">FQE$28*$C$28</f>
        <v>99897084869912.703</v>
      </c>
      <c r="FQI28" s="613">
        <f t="shared" ref="FQI28" si="2276">FQG$28*$C$28</f>
        <v>100896055718611.83</v>
      </c>
      <c r="FQK28" s="613">
        <f t="shared" ref="FQK28" si="2277">FQI$28*$C$28</f>
        <v>101905016275797.95</v>
      </c>
      <c r="FQM28" s="613">
        <f t="shared" ref="FQM28" si="2278">FQK$28*$C$28</f>
        <v>102924066438555.94</v>
      </c>
      <c r="FQO28" s="613">
        <f t="shared" ref="FQO28" si="2279">FQM$28*$C$28</f>
        <v>103953307102941.5</v>
      </c>
      <c r="FQQ28" s="613">
        <f t="shared" ref="FQQ28" si="2280">FQO$28*$C$28</f>
        <v>104992840173970.92</v>
      </c>
      <c r="FQS28" s="613">
        <f t="shared" ref="FQS28" si="2281">FQQ$28*$C$28</f>
        <v>106042768575710.63</v>
      </c>
      <c r="FQU28" s="613">
        <f t="shared" ref="FQU28" si="2282">FQS$28*$C$28</f>
        <v>107103196261467.73</v>
      </c>
      <c r="FQW28" s="613">
        <f t="shared" ref="FQW28" si="2283">FQU$28*$C$28</f>
        <v>108174228224082.41</v>
      </c>
      <c r="FQY28" s="613">
        <f t="shared" ref="FQY28" si="2284">FQW$28*$C$28</f>
        <v>109255970506323.23</v>
      </c>
      <c r="FRA28" s="613">
        <f t="shared" ref="FRA28" si="2285">FQY$28*$C$28</f>
        <v>110348530211386.47</v>
      </c>
      <c r="FRC28" s="613">
        <f t="shared" ref="FRC28" si="2286">FRA$28*$C$28</f>
        <v>111452015513500.33</v>
      </c>
      <c r="FRE28" s="613">
        <f t="shared" ref="FRE28" si="2287">FRC$28*$C$28</f>
        <v>112566535668635.33</v>
      </c>
      <c r="FRG28" s="613">
        <f t="shared" ref="FRG28" si="2288">FRE$28*$C$28</f>
        <v>113692201025321.69</v>
      </c>
      <c r="FRI28" s="613">
        <f t="shared" ref="FRI28" si="2289">FRG$28*$C$28</f>
        <v>114829123035574.91</v>
      </c>
      <c r="FRK28" s="613">
        <f t="shared" ref="FRK28" si="2290">FRI$28*$C$28</f>
        <v>115977414265930.66</v>
      </c>
      <c r="FRM28" s="613">
        <f t="shared" ref="FRM28" si="2291">FRK$28*$C$28</f>
        <v>117137188408589.97</v>
      </c>
      <c r="FRO28" s="613">
        <f t="shared" ref="FRO28" si="2292">FRM$28*$C$28</f>
        <v>118308560292675.88</v>
      </c>
      <c r="FRQ28" s="613">
        <f t="shared" ref="FRQ28" si="2293">FRO$28*$C$28</f>
        <v>119491645895602.64</v>
      </c>
      <c r="FRS28" s="613">
        <f t="shared" ref="FRS28" si="2294">FRQ$28*$C$28</f>
        <v>120686562354558.67</v>
      </c>
      <c r="FRU28" s="613">
        <f t="shared" ref="FRU28" si="2295">FRS$28*$C$28</f>
        <v>121893427978104.27</v>
      </c>
      <c r="FRW28" s="613">
        <f t="shared" ref="FRW28" si="2296">FRU$28*$C$28</f>
        <v>123112362257885.31</v>
      </c>
      <c r="FRY28" s="613">
        <f t="shared" ref="FRY28" si="2297">FRW$28*$C$28</f>
        <v>124343485880464.17</v>
      </c>
      <c r="FSA28" s="613">
        <f t="shared" ref="FSA28" si="2298">FRY$28*$C$28</f>
        <v>125586920739268.81</v>
      </c>
      <c r="FSC28" s="613">
        <f t="shared" ref="FSC28" si="2299">FSA$28*$C$28</f>
        <v>126842789946661.5</v>
      </c>
      <c r="FSE28" s="613">
        <f t="shared" ref="FSE28" si="2300">FSC$28*$C$28</f>
        <v>128111217846128.11</v>
      </c>
      <c r="FSG28" s="613">
        <f t="shared" ref="FSG28" si="2301">FSE$28*$C$28</f>
        <v>129392330024589.39</v>
      </c>
      <c r="FSI28" s="613">
        <f t="shared" ref="FSI28" si="2302">FSG$28*$C$28</f>
        <v>130686253324835.28</v>
      </c>
      <c r="FSK28" s="613">
        <f t="shared" ref="FSK28" si="2303">FSI$28*$C$28</f>
        <v>131993115858083.64</v>
      </c>
      <c r="FSM28" s="613">
        <f t="shared" ref="FSM28" si="2304">FSK$28*$C$28</f>
        <v>133313047016664.48</v>
      </c>
      <c r="FSO28" s="613">
        <f t="shared" ref="FSO28" si="2305">FSM$28*$C$28</f>
        <v>134646177486831.13</v>
      </c>
      <c r="FSQ28" s="613">
        <f t="shared" ref="FSQ28" si="2306">FSO$28*$C$28</f>
        <v>135992639261699.44</v>
      </c>
      <c r="FSS28" s="613">
        <f t="shared" ref="FSS28" si="2307">FSQ$28*$C$28</f>
        <v>137352565654316.44</v>
      </c>
      <c r="FSU28" s="613">
        <f t="shared" ref="FSU28" si="2308">FSS$28*$C$28</f>
        <v>138726091310859.61</v>
      </c>
      <c r="FSW28" s="613">
        <f t="shared" ref="FSW28" si="2309">FSU$28*$C$28</f>
        <v>140113352223968.2</v>
      </c>
      <c r="FSY28" s="613">
        <f t="shared" ref="FSY28" si="2310">FSW$28*$C$28</f>
        <v>141514485746207.88</v>
      </c>
      <c r="FTA28" s="613">
        <f t="shared" ref="FTA28" si="2311">FSY$28*$C$28</f>
        <v>142929630603669.97</v>
      </c>
      <c r="FTC28" s="613">
        <f t="shared" ref="FTC28" si="2312">FTA$28*$C$28</f>
        <v>144358926909706.66</v>
      </c>
      <c r="FTE28" s="613">
        <f t="shared" ref="FTE28" si="2313">FTC$28*$C$28</f>
        <v>145802516178803.72</v>
      </c>
      <c r="FTG28" s="613">
        <f t="shared" ref="FTG28" si="2314">FTE$28*$C$28</f>
        <v>147260541340591.75</v>
      </c>
      <c r="FTI28" s="613">
        <f t="shared" ref="FTI28" si="2315">FTG$28*$C$28</f>
        <v>148733146753997.66</v>
      </c>
      <c r="FTK28" s="613">
        <f t="shared" ref="FTK28" si="2316">FTI$28*$C$28</f>
        <v>150220478221537.63</v>
      </c>
      <c r="FTM28" s="613">
        <f t="shared" ref="FTM28" si="2317">FTK$28*$C$28</f>
        <v>151722683003753</v>
      </c>
      <c r="FTO28" s="613">
        <f t="shared" ref="FTO28" si="2318">FTM$28*$C$28</f>
        <v>153239909833790.53</v>
      </c>
      <c r="FTQ28" s="613">
        <f t="shared" ref="FTQ28" si="2319">FTO$28*$C$28</f>
        <v>154772308932128.44</v>
      </c>
      <c r="FTS28" s="613">
        <f t="shared" ref="FTS28" si="2320">FTQ$28*$C$28</f>
        <v>156320032021449.72</v>
      </c>
      <c r="FTU28" s="613">
        <f t="shared" ref="FTU28" si="2321">FTS$28*$C$28</f>
        <v>157883232341664.22</v>
      </c>
      <c r="FTW28" s="613">
        <f t="shared" ref="FTW28" si="2322">FTU$28*$C$28</f>
        <v>159462064665080.88</v>
      </c>
      <c r="FTY28" s="613">
        <f t="shared" ref="FTY28" si="2323">FTW$28*$C$28</f>
        <v>161056685311731.69</v>
      </c>
      <c r="FUA28" s="613">
        <f t="shared" ref="FUA28" si="2324">FTY$28*$C$28</f>
        <v>162667252164849</v>
      </c>
      <c r="FUC28" s="613">
        <f t="shared" ref="FUC28" si="2325">FUA$28*$C$28</f>
        <v>164293924686497.5</v>
      </c>
      <c r="FUE28" s="613">
        <f t="shared" ref="FUE28" si="2326">FUC$28*$C$28</f>
        <v>165936863933362.47</v>
      </c>
      <c r="FUG28" s="613">
        <f t="shared" ref="FUG28" si="2327">FUE$28*$C$28</f>
        <v>167596232572696.09</v>
      </c>
      <c r="FUI28" s="613">
        <f t="shared" ref="FUI28" si="2328">FUG$28*$C$28</f>
        <v>169272194898423.06</v>
      </c>
      <c r="FUK28" s="613">
        <f t="shared" ref="FUK28" si="2329">FUI$28*$C$28</f>
        <v>170964916847407.28</v>
      </c>
      <c r="FUM28" s="613">
        <f t="shared" ref="FUM28" si="2330">FUK$28*$C$28</f>
        <v>172674566015881.34</v>
      </c>
      <c r="FUO28" s="613">
        <f t="shared" ref="FUO28" si="2331">FUM$28*$C$28</f>
        <v>174401311676040.16</v>
      </c>
      <c r="FUQ28" s="613">
        <f t="shared" ref="FUQ28" si="2332">FUO$28*$C$28</f>
        <v>176145324792800.56</v>
      </c>
      <c r="FUS28" s="613">
        <f t="shared" ref="FUS28" si="2333">FUQ$28*$C$28</f>
        <v>177906778040728.56</v>
      </c>
      <c r="FUU28" s="613">
        <f t="shared" ref="FUU28" si="2334">FUS$28*$C$28</f>
        <v>179685845821135.84</v>
      </c>
      <c r="FUW28" s="613">
        <f t="shared" ref="FUW28" si="2335">FUU$28*$C$28</f>
        <v>181482704279347.22</v>
      </c>
      <c r="FUY28" s="613">
        <f t="shared" ref="FUY28" si="2336">FUW$28*$C$28</f>
        <v>183297531322140.69</v>
      </c>
      <c r="FVA28" s="613">
        <f t="shared" ref="FVA28" si="2337">FUY$28*$C$28</f>
        <v>185130506635362.09</v>
      </c>
      <c r="FVC28" s="613">
        <f t="shared" ref="FVC28" si="2338">FVA$28*$C$28</f>
        <v>186981811701715.72</v>
      </c>
      <c r="FVE28" s="613">
        <f t="shared" ref="FVE28" si="2339">FVC$28*$C$28</f>
        <v>188851629818732.88</v>
      </c>
      <c r="FVG28" s="613">
        <f t="shared" ref="FVG28" si="2340">FVE$28*$C$28</f>
        <v>190740146116920.22</v>
      </c>
      <c r="FVI28" s="613">
        <f t="shared" ref="FVI28" si="2341">FVG$28*$C$28</f>
        <v>192647547578089.44</v>
      </c>
      <c r="FVK28" s="613">
        <f t="shared" ref="FVK28" si="2342">FVI$28*$C$28</f>
        <v>194574023053870.34</v>
      </c>
      <c r="FVM28" s="613">
        <f t="shared" ref="FVM28" si="2343">FVK$28*$C$28</f>
        <v>196519763284409.06</v>
      </c>
      <c r="FVO28" s="613">
        <f t="shared" ref="FVO28" si="2344">FVM$28*$C$28</f>
        <v>198484960917253.16</v>
      </c>
      <c r="FVQ28" s="613">
        <f t="shared" ref="FVQ28" si="2345">FVO$28*$C$28</f>
        <v>200469810526425.69</v>
      </c>
      <c r="FVS28" s="613">
        <f t="shared" ref="FVS28" si="2346">FVQ$28*$C$28</f>
        <v>202474508631689.94</v>
      </c>
      <c r="FVU28" s="613">
        <f t="shared" ref="FVU28" si="2347">FVS$28*$C$28</f>
        <v>204499253718006.84</v>
      </c>
      <c r="FVW28" s="613">
        <f t="shared" ref="FVW28" si="2348">FVU$28*$C$28</f>
        <v>206544246255186.91</v>
      </c>
      <c r="FVY28" s="613">
        <f t="shared" ref="FVY28" si="2349">FVW$28*$C$28</f>
        <v>208609688717738.78</v>
      </c>
      <c r="FWA28" s="613">
        <f t="shared" ref="FWA28" si="2350">FVY$28*$C$28</f>
        <v>210695785604916.16</v>
      </c>
      <c r="FWC28" s="613">
        <f t="shared" ref="FWC28" si="2351">FWA$28*$C$28</f>
        <v>212802743460965.31</v>
      </c>
      <c r="FWE28" s="613">
        <f t="shared" ref="FWE28" si="2352">FWC$28*$C$28</f>
        <v>214930770895574.97</v>
      </c>
      <c r="FWG28" s="613">
        <f t="shared" ref="FWG28" si="2353">FWE$28*$C$28</f>
        <v>217080078604530.72</v>
      </c>
      <c r="FWI28" s="613">
        <f t="shared" ref="FWI28" si="2354">FWG$28*$C$28</f>
        <v>219250879390576.03</v>
      </c>
      <c r="FWK28" s="613">
        <f t="shared" ref="FWK28" si="2355">FWI$28*$C$28</f>
        <v>221443388184481.78</v>
      </c>
      <c r="FWM28" s="613">
        <f t="shared" ref="FWM28" si="2356">FWK$28*$C$28</f>
        <v>223657822066326.59</v>
      </c>
      <c r="FWO28" s="613">
        <f t="shared" ref="FWO28" si="2357">FWM$28*$C$28</f>
        <v>225894400286989.88</v>
      </c>
      <c r="FWQ28" s="613">
        <f t="shared" ref="FWQ28" si="2358">FWO$28*$C$28</f>
        <v>228153344289859.78</v>
      </c>
      <c r="FWS28" s="613">
        <f t="shared" ref="FWS28" si="2359">FWQ$28*$C$28</f>
        <v>230434877732758.38</v>
      </c>
      <c r="FWU28" s="613">
        <f t="shared" ref="FWU28" si="2360">FWS$28*$C$28</f>
        <v>232739226510085.97</v>
      </c>
      <c r="FWW28" s="613">
        <f t="shared" ref="FWW28" si="2361">FWU$28*$C$28</f>
        <v>235066618775186.84</v>
      </c>
      <c r="FWY28" s="613">
        <f t="shared" ref="FWY28" si="2362">FWW$28*$C$28</f>
        <v>237417284962938.72</v>
      </c>
      <c r="FXA28" s="613">
        <f t="shared" ref="FXA28" si="2363">FWY$28*$C$28</f>
        <v>239791457812568.09</v>
      </c>
      <c r="FXC28" s="613">
        <f t="shared" ref="FXC28" si="2364">FXA$28*$C$28</f>
        <v>242189372390693.78</v>
      </c>
      <c r="FXE28" s="613">
        <f t="shared" ref="FXE28" si="2365">FXC$28*$C$28</f>
        <v>244611266114600.72</v>
      </c>
      <c r="FXG28" s="613">
        <f t="shared" ref="FXG28" si="2366">FXE$28*$C$28</f>
        <v>247057378775746.72</v>
      </c>
      <c r="FXI28" s="613">
        <f t="shared" ref="FXI28" si="2367">FXG$28*$C$28</f>
        <v>249527952563504.19</v>
      </c>
      <c r="FXK28" s="613">
        <f t="shared" ref="FXK28" si="2368">FXI$28*$C$28</f>
        <v>252023232089139.22</v>
      </c>
      <c r="FXM28" s="613">
        <f t="shared" ref="FXM28" si="2369">FXK$28*$C$28</f>
        <v>254543464410030.63</v>
      </c>
      <c r="FXO28" s="613">
        <f t="shared" ref="FXO28" si="2370">FXM$28*$C$28</f>
        <v>257088899054130.94</v>
      </c>
      <c r="FXQ28" s="613">
        <f t="shared" ref="FXQ28" si="2371">FXO$28*$C$28</f>
        <v>259659788044672.25</v>
      </c>
      <c r="FXS28" s="613">
        <f t="shared" ref="FXS28" si="2372">FXQ$28*$C$28</f>
        <v>262256385925118.97</v>
      </c>
      <c r="FXU28" s="613">
        <f t="shared" ref="FXU28" si="2373">FXS$28*$C$28</f>
        <v>264878949784370.16</v>
      </c>
      <c r="FXW28" s="613">
        <f t="shared" ref="FXW28" si="2374">FXU$28*$C$28</f>
        <v>267527739282213.88</v>
      </c>
      <c r="FXY28" s="613">
        <f t="shared" ref="FXY28" si="2375">FXW$28*$C$28</f>
        <v>270203016675036.03</v>
      </c>
      <c r="FYA28" s="613">
        <f t="shared" ref="FYA28" si="2376">FXY$28*$C$28</f>
        <v>272905046841786.41</v>
      </c>
      <c r="FYC28" s="613">
        <f t="shared" ref="FYC28" si="2377">FYA$28*$C$28</f>
        <v>275634097310204.28</v>
      </c>
      <c r="FYE28" s="613">
        <f t="shared" ref="FYE28" si="2378">FYC$28*$C$28</f>
        <v>278390438283306.31</v>
      </c>
      <c r="FYG28" s="613">
        <f t="shared" ref="FYG28" si="2379">FYE$28*$C$28</f>
        <v>281174342666139.38</v>
      </c>
      <c r="FYI28" s="613">
        <f t="shared" ref="FYI28" si="2380">FYG$28*$C$28</f>
        <v>283986086092800.75</v>
      </c>
      <c r="FYK28" s="613">
        <f t="shared" ref="FYK28" si="2381">FYI$28*$C$28</f>
        <v>286825946953728.75</v>
      </c>
      <c r="FYM28" s="613">
        <f t="shared" ref="FYM28" si="2382">FYK$28*$C$28</f>
        <v>289694206423266.06</v>
      </c>
      <c r="FYO28" s="613">
        <f t="shared" ref="FYO28" si="2383">FYM$28*$C$28</f>
        <v>292591148487498.75</v>
      </c>
      <c r="FYQ28" s="613">
        <f t="shared" ref="FYQ28" si="2384">FYO$28*$C$28</f>
        <v>295517059972373.75</v>
      </c>
      <c r="FYS28" s="613">
        <f t="shared" ref="FYS28" si="2385">FYQ$28*$C$28</f>
        <v>298472230572097.5</v>
      </c>
      <c r="FYU28" s="613">
        <f t="shared" ref="FYU28" si="2386">FYS$28*$C$28</f>
        <v>301456952877818.5</v>
      </c>
      <c r="FYW28" s="613">
        <f t="shared" ref="FYW28" si="2387">FYU$28*$C$28</f>
        <v>304471522406596.69</v>
      </c>
      <c r="FYY28" s="613">
        <f t="shared" ref="FYY28" si="2388">FYW$28*$C$28</f>
        <v>307516237630662.69</v>
      </c>
      <c r="FZA28" s="613">
        <f t="shared" ref="FZA28" si="2389">FYY$28*$C$28</f>
        <v>310591400006969.31</v>
      </c>
      <c r="FZC28" s="613">
        <f t="shared" ref="FZC28" si="2390">FZA$28*$C$28</f>
        <v>313697314007039</v>
      </c>
      <c r="FZE28" s="613">
        <f t="shared" ref="FZE28" si="2391">FZC$28*$C$28</f>
        <v>316834287147109.38</v>
      </c>
      <c r="FZG28" s="613">
        <f t="shared" ref="FZG28" si="2392">FZE$28*$C$28</f>
        <v>320002630018580.5</v>
      </c>
      <c r="FZI28" s="613">
        <f t="shared" ref="FZI28" si="2393">FZG$28*$C$28</f>
        <v>323202656318766.31</v>
      </c>
      <c r="FZK28" s="613">
        <f t="shared" ref="FZK28" si="2394">FZI$28*$C$28</f>
        <v>326434682881954</v>
      </c>
      <c r="FZM28" s="613">
        <f t="shared" ref="FZM28" si="2395">FZK$28*$C$28</f>
        <v>329699029710773.56</v>
      </c>
      <c r="FZO28" s="613">
        <f t="shared" ref="FZO28" si="2396">FZM$28*$C$28</f>
        <v>332996020007881.31</v>
      </c>
      <c r="FZQ28" s="613">
        <f t="shared" ref="FZQ28" si="2397">FZO$28*$C$28</f>
        <v>336325980207960.13</v>
      </c>
      <c r="FZS28" s="613">
        <f t="shared" ref="FZS28" si="2398">FZQ$28*$C$28</f>
        <v>339689240010039.75</v>
      </c>
      <c r="FZU28" s="613">
        <f t="shared" ref="FZU28" si="2399">FZS$28*$C$28</f>
        <v>343086132410140.13</v>
      </c>
      <c r="FZW28" s="613">
        <f t="shared" ref="FZW28" si="2400">FZU$28*$C$28</f>
        <v>346516993734241.5</v>
      </c>
      <c r="FZY28" s="613">
        <f t="shared" ref="FZY28" si="2401">FZW$28*$C$28</f>
        <v>349982163671583.94</v>
      </c>
      <c r="GAA28" s="613">
        <f t="shared" ref="GAA28" si="2402">FZY$28*$C$28</f>
        <v>353481985308299.75</v>
      </c>
      <c r="GAC28" s="613">
        <f t="shared" ref="GAC28" si="2403">GAA$28*$C$28</f>
        <v>357016805161382.75</v>
      </c>
      <c r="GAE28" s="613">
        <f t="shared" ref="GAE28" si="2404">GAC$28*$C$28</f>
        <v>360586973212996.56</v>
      </c>
      <c r="GAG28" s="613">
        <f t="shared" ref="GAG28" si="2405">GAE$28*$C$28</f>
        <v>364192842945126.56</v>
      </c>
      <c r="GAI28" s="613">
        <f t="shared" ref="GAI28" si="2406">GAG$28*$C$28</f>
        <v>367834771374577.81</v>
      </c>
      <c r="GAK28" s="613">
        <f t="shared" ref="GAK28" si="2407">GAI$28*$C$28</f>
        <v>371513119088323.63</v>
      </c>
      <c r="GAM28" s="613">
        <f t="shared" ref="GAM28" si="2408">GAK$28*$C$28</f>
        <v>375228250279206.88</v>
      </c>
      <c r="GAO28" s="613">
        <f t="shared" ref="GAO28" si="2409">GAM$28*$C$28</f>
        <v>378980532781998.94</v>
      </c>
      <c r="GAQ28" s="613">
        <f t="shared" ref="GAQ28" si="2410">GAO$28*$C$28</f>
        <v>382770338109818.94</v>
      </c>
      <c r="GAS28" s="613">
        <f t="shared" ref="GAS28" si="2411">GAQ$28*$C$28</f>
        <v>386598041490917.13</v>
      </c>
      <c r="GAU28" s="613">
        <f t="shared" ref="GAU28" si="2412">GAS$28*$C$28</f>
        <v>390464021905826.31</v>
      </c>
      <c r="GAW28" s="613">
        <f t="shared" ref="GAW28" si="2413">GAU$28*$C$28</f>
        <v>394368662124884.56</v>
      </c>
      <c r="GAY28" s="613">
        <f t="shared" ref="GAY28" si="2414">GAW$28*$C$28</f>
        <v>398312348746133.44</v>
      </c>
      <c r="GBA28" s="613">
        <f t="shared" ref="GBA28" si="2415">GAY$28*$C$28</f>
        <v>402295472233594.75</v>
      </c>
      <c r="GBC28" s="613">
        <f t="shared" ref="GBC28" si="2416">GBA$28*$C$28</f>
        <v>406318426955930.69</v>
      </c>
      <c r="GBE28" s="613">
        <f t="shared" ref="GBE28" si="2417">GBC$28*$C$28</f>
        <v>410381611225490</v>
      </c>
      <c r="GBG28" s="613">
        <f t="shared" ref="GBG28" si="2418">GBE$28*$C$28</f>
        <v>414485427337744.88</v>
      </c>
      <c r="GBI28" s="613">
        <f t="shared" ref="GBI28" si="2419">GBG$28*$C$28</f>
        <v>418630281611122.31</v>
      </c>
      <c r="GBK28" s="613">
        <f t="shared" ref="GBK28" si="2420">GBI$28*$C$28</f>
        <v>422816584427233.56</v>
      </c>
      <c r="GBM28" s="613">
        <f t="shared" ref="GBM28" si="2421">GBK$28*$C$28</f>
        <v>427044750271505.88</v>
      </c>
      <c r="GBO28" s="613">
        <f t="shared" ref="GBO28" si="2422">GBM$28*$C$28</f>
        <v>431315197774220.94</v>
      </c>
      <c r="GBQ28" s="613">
        <f t="shared" ref="GBQ28" si="2423">GBO$28*$C$28</f>
        <v>435628349751963.13</v>
      </c>
      <c r="GBS28" s="613">
        <f t="shared" ref="GBS28" si="2424">GBQ$28*$C$28</f>
        <v>439984633249482.75</v>
      </c>
      <c r="GBU28" s="613">
        <f t="shared" ref="GBU28" si="2425">GBS$28*$C$28</f>
        <v>444384479581977.56</v>
      </c>
      <c r="GBW28" s="613">
        <f t="shared" ref="GBW28" si="2426">GBU$28*$C$28</f>
        <v>448828324377797.31</v>
      </c>
      <c r="GBY28" s="613">
        <f t="shared" ref="GBY28" si="2427">GBW$28*$C$28</f>
        <v>453316607621575.31</v>
      </c>
      <c r="GCA28" s="613">
        <f t="shared" ref="GCA28" si="2428">GBY$28*$C$28</f>
        <v>457849773697791.06</v>
      </c>
      <c r="GCC28" s="613">
        <f t="shared" ref="GCC28" si="2429">GCA$28*$C$28</f>
        <v>462428271434769</v>
      </c>
      <c r="GCE28" s="613">
        <f t="shared" ref="GCE28" si="2430">GCC$28*$C$28</f>
        <v>467052554149116.69</v>
      </c>
      <c r="GCG28" s="613">
        <f t="shared" ref="GCG28" si="2431">GCE$28*$C$28</f>
        <v>471723079690607.88</v>
      </c>
      <c r="GCI28" s="613">
        <f t="shared" ref="GCI28" si="2432">GCG$28*$C$28</f>
        <v>476440310487513.94</v>
      </c>
      <c r="GCK28" s="613">
        <f t="shared" ref="GCK28" si="2433">GCI$28*$C$28</f>
        <v>481204713592389.06</v>
      </c>
      <c r="GCM28" s="613">
        <f t="shared" ref="GCM28" si="2434">GCK$28*$C$28</f>
        <v>486016760728312.94</v>
      </c>
      <c r="GCO28" s="613">
        <f t="shared" ref="GCO28" si="2435">GCM$28*$C$28</f>
        <v>490876928335596.06</v>
      </c>
      <c r="GCQ28" s="613">
        <f t="shared" ref="GCQ28" si="2436">GCO$28*$C$28</f>
        <v>495785697618952</v>
      </c>
      <c r="GCS28" s="613">
        <f t="shared" ref="GCS28" si="2437">GCQ$28*$C$28</f>
        <v>500743554595141.5</v>
      </c>
      <c r="GCU28" s="613">
        <f t="shared" ref="GCU28" si="2438">GCS$28*$C$28</f>
        <v>505750990141092.94</v>
      </c>
      <c r="GCW28" s="613">
        <f t="shared" ref="GCW28" si="2439">GCU$28*$C$28</f>
        <v>510808500042503.88</v>
      </c>
      <c r="GCY28" s="613">
        <f t="shared" ref="GCY28" si="2440">GCW$28*$C$28</f>
        <v>515916585042928.94</v>
      </c>
      <c r="GDA28" s="613">
        <f t="shared" ref="GDA28" si="2441">GCY$28*$C$28</f>
        <v>521075750893358.25</v>
      </c>
      <c r="GDC28" s="613">
        <f t="shared" ref="GDC28" si="2442">GDA$28*$C$28</f>
        <v>526286508402291.81</v>
      </c>
      <c r="GDE28" s="613">
        <f t="shared" ref="GDE28" si="2443">GDC$28*$C$28</f>
        <v>531549373486314.75</v>
      </c>
      <c r="GDG28" s="613">
        <f t="shared" ref="GDG28" si="2444">GDE$28*$C$28</f>
        <v>536864867221177.88</v>
      </c>
      <c r="GDI28" s="613">
        <f t="shared" ref="GDI28" si="2445">GDG$28*$C$28</f>
        <v>542233515893389.69</v>
      </c>
      <c r="GDK28" s="613">
        <f t="shared" ref="GDK28" si="2446">GDI$28*$C$28</f>
        <v>547655851052323.56</v>
      </c>
      <c r="GDM28" s="613">
        <f t="shared" ref="GDM28" si="2447">GDK$28*$C$28</f>
        <v>553132409562846.81</v>
      </c>
      <c r="GDO28" s="613">
        <f t="shared" ref="GDO28" si="2448">GDM$28*$C$28</f>
        <v>558663733658475.31</v>
      </c>
      <c r="GDQ28" s="613">
        <f t="shared" ref="GDQ28" si="2449">GDO$28*$C$28</f>
        <v>564250370995060.13</v>
      </c>
      <c r="GDS28" s="613">
        <f t="shared" ref="GDS28" si="2450">GDQ$28*$C$28</f>
        <v>569892874705010.75</v>
      </c>
      <c r="GDU28" s="613">
        <f t="shared" ref="GDU28" si="2451">GDS$28*$C$28</f>
        <v>575591803452060.88</v>
      </c>
      <c r="GDW28" s="613">
        <f t="shared" ref="GDW28" si="2452">GDU$28*$C$28</f>
        <v>581347721486581.5</v>
      </c>
      <c r="GDY28" s="613">
        <f t="shared" ref="GDY28" si="2453">GDW$28*$C$28</f>
        <v>587161198701447.38</v>
      </c>
      <c r="GEA28" s="613">
        <f t="shared" ref="GEA28" si="2454">GDY$28*$C$28</f>
        <v>593032810688461.88</v>
      </c>
      <c r="GEC28" s="613">
        <f t="shared" ref="GEC28" si="2455">GEA$28*$C$28</f>
        <v>598963138795346.5</v>
      </c>
      <c r="GEE28" s="613">
        <f t="shared" ref="GEE28" si="2456">GEC$28*$C$28</f>
        <v>604952770183300</v>
      </c>
      <c r="GEG28" s="613">
        <f t="shared" ref="GEG28" si="2457">GEE$28*$C$28</f>
        <v>611002297885133</v>
      </c>
      <c r="GEI28" s="613">
        <f t="shared" ref="GEI28" si="2458">GEG$28*$C$28</f>
        <v>617112320863984.38</v>
      </c>
      <c r="GEK28" s="613">
        <f t="shared" ref="GEK28" si="2459">GEI$28*$C$28</f>
        <v>623283444072624.25</v>
      </c>
      <c r="GEM28" s="613">
        <f t="shared" ref="GEM28" si="2460">GEK$28*$C$28</f>
        <v>629516278513350.5</v>
      </c>
      <c r="GEO28" s="613">
        <f t="shared" ref="GEO28" si="2461">GEM$28*$C$28</f>
        <v>635811441298484</v>
      </c>
      <c r="GEQ28" s="613">
        <f t="shared" ref="GEQ28" si="2462">GEO$28*$C$28</f>
        <v>642169555711468.88</v>
      </c>
      <c r="GES28" s="613">
        <f t="shared" ref="GES28" si="2463">GEQ$28*$C$28</f>
        <v>648591251268583.63</v>
      </c>
      <c r="GEU28" s="613">
        <f t="shared" ref="GEU28" si="2464">GES$28*$C$28</f>
        <v>655077163781269.5</v>
      </c>
      <c r="GEW28" s="613">
        <f t="shared" ref="GEW28" si="2465">GEU$28*$C$28</f>
        <v>661627935419082.25</v>
      </c>
      <c r="GEY28" s="613">
        <f t="shared" ref="GEY28" si="2466">GEW$28*$C$28</f>
        <v>668244214773273.13</v>
      </c>
      <c r="GFA28" s="613">
        <f t="shared" ref="GFA28" si="2467">GEY$28*$C$28</f>
        <v>674926656921005.88</v>
      </c>
      <c r="GFC28" s="613">
        <f t="shared" ref="GFC28" si="2468">GFA$28*$C$28</f>
        <v>681675923490216</v>
      </c>
      <c r="GFE28" s="613">
        <f t="shared" ref="GFE28" si="2469">GFC$28*$C$28</f>
        <v>688492682725118.13</v>
      </c>
      <c r="GFG28" s="613">
        <f t="shared" ref="GFG28" si="2470">GFE$28*$C$28</f>
        <v>695377609552369.25</v>
      </c>
      <c r="GFI28" s="613">
        <f t="shared" ref="GFI28" si="2471">GFG$28*$C$28</f>
        <v>702331385647893</v>
      </c>
      <c r="GFK28" s="613">
        <f t="shared" ref="GFK28" si="2472">GFI$28*$C$28</f>
        <v>709354699504371.88</v>
      </c>
      <c r="GFM28" s="613">
        <f t="shared" ref="GFM28" si="2473">GFK$28*$C$28</f>
        <v>716448246499415.63</v>
      </c>
      <c r="GFO28" s="613">
        <f t="shared" ref="GFO28" si="2474">GFM$28*$C$28</f>
        <v>723612728964409.75</v>
      </c>
      <c r="GFQ28" s="613">
        <f t="shared" ref="GFQ28" si="2475">GFO$28*$C$28</f>
        <v>730848856254053.88</v>
      </c>
      <c r="GFS28" s="613">
        <f t="shared" ref="GFS28" si="2476">GFQ$28*$C$28</f>
        <v>738157344816594.38</v>
      </c>
      <c r="GFU28" s="613">
        <f t="shared" ref="GFU28" si="2477">GFS$28*$C$28</f>
        <v>745538918264760.38</v>
      </c>
      <c r="GFW28" s="613">
        <f t="shared" ref="GFW28" si="2478">GFU$28*$C$28</f>
        <v>752994307447408</v>
      </c>
      <c r="GFY28" s="613">
        <f t="shared" ref="GFY28" si="2479">GFW$28*$C$28</f>
        <v>760524250521882.13</v>
      </c>
      <c r="GGA28" s="613">
        <f t="shared" ref="GGA28" si="2480">GFY$28*$C$28</f>
        <v>768129493027101</v>
      </c>
      <c r="GGC28" s="613">
        <f t="shared" ref="GGC28" si="2481">GGA$28*$C$28</f>
        <v>775810787957372</v>
      </c>
      <c r="GGE28" s="613">
        <f t="shared" ref="GGE28" si="2482">GGC$28*$C$28</f>
        <v>783568895836945.75</v>
      </c>
      <c r="GGG28" s="613">
        <f t="shared" ref="GGG28" si="2483">GGE$28*$C$28</f>
        <v>791404584795315.25</v>
      </c>
      <c r="GGI28" s="613">
        <f t="shared" ref="GGI28" si="2484">GGG$28*$C$28</f>
        <v>799318630643268.38</v>
      </c>
      <c r="GGK28" s="613">
        <f t="shared" ref="GGK28" si="2485">GGI$28*$C$28</f>
        <v>807311816949701.13</v>
      </c>
      <c r="GGM28" s="613">
        <f t="shared" ref="GGM28" si="2486">GGK$28*$C$28</f>
        <v>815384935119198.13</v>
      </c>
      <c r="GGO28" s="613">
        <f t="shared" ref="GGO28" si="2487">GGM$28*$C$28</f>
        <v>823538784470390.13</v>
      </c>
      <c r="GGQ28" s="613">
        <f t="shared" ref="GGQ28" si="2488">GGO$28*$C$28</f>
        <v>831774172315094</v>
      </c>
      <c r="GGS28" s="613">
        <f t="shared" ref="GGS28" si="2489">GGQ$28*$C$28</f>
        <v>840091914038245</v>
      </c>
      <c r="GGU28" s="613">
        <f t="shared" ref="GGU28" si="2490">GGS$28*$C$28</f>
        <v>848492833178627.5</v>
      </c>
      <c r="GGW28" s="613">
        <f t="shared" ref="GGW28" si="2491">GGU$28*$C$28</f>
        <v>856977761510413.75</v>
      </c>
      <c r="GGY28" s="613">
        <f t="shared" ref="GGY28" si="2492">GGW$28*$C$28</f>
        <v>865547539125517.88</v>
      </c>
      <c r="GHA28" s="613">
        <f t="shared" ref="GHA28" si="2493">GGY$28*$C$28</f>
        <v>874203014516773</v>
      </c>
      <c r="GHC28" s="613">
        <f t="shared" ref="GHC28" si="2494">GHA$28*$C$28</f>
        <v>882945044661940.75</v>
      </c>
      <c r="GHE28" s="613">
        <f t="shared" ref="GHE28" si="2495">GHC$28*$C$28</f>
        <v>891774495108560.13</v>
      </c>
      <c r="GHG28" s="613">
        <f t="shared" ref="GHG28" si="2496">GHE$28*$C$28</f>
        <v>900692240059645.75</v>
      </c>
      <c r="GHI28" s="613">
        <f t="shared" ref="GHI28" si="2497">GHG$28*$C$28</f>
        <v>909699162460242.25</v>
      </c>
      <c r="GHK28" s="613">
        <f t="shared" ref="GHK28" si="2498">GHI$28*$C$28</f>
        <v>918796154084844.63</v>
      </c>
      <c r="GHM28" s="613">
        <f t="shared" ref="GHM28" si="2499">GHK$28*$C$28</f>
        <v>927984115625693.13</v>
      </c>
      <c r="GHO28" s="613">
        <f t="shared" ref="GHO28" si="2500">GHM$28*$C$28</f>
        <v>937263956781950.13</v>
      </c>
      <c r="GHQ28" s="613">
        <f t="shared" ref="GHQ28" si="2501">GHO$28*$C$28</f>
        <v>946636596349769.63</v>
      </c>
      <c r="GHS28" s="613">
        <f t="shared" ref="GHS28" si="2502">GHQ$28*$C$28</f>
        <v>956102962313267.38</v>
      </c>
      <c r="GHU28" s="613">
        <f t="shared" ref="GHU28" si="2503">GHS$28*$C$28</f>
        <v>965663991936400</v>
      </c>
      <c r="GHW28" s="613">
        <f t="shared" ref="GHW28" si="2504">GHU$28*$C$28</f>
        <v>975320631855764</v>
      </c>
      <c r="GHY28" s="613">
        <f t="shared" ref="GHY28" si="2505">GHW$28*$C$28</f>
        <v>985073838174321.63</v>
      </c>
      <c r="GIA28" s="613">
        <f t="shared" ref="GIA28" si="2506">GHY$28*$C$28</f>
        <v>994924576556064.88</v>
      </c>
      <c r="GIC28" s="613">
        <f t="shared" ref="GIC28" si="2507">GIA$28*$C$28</f>
        <v>1004873822321625.5</v>
      </c>
      <c r="GIE28" s="613">
        <f t="shared" ref="GIE28" si="2508">GIC$28*$C$28</f>
        <v>1014922560544841.8</v>
      </c>
      <c r="GIG28" s="613">
        <f t="shared" ref="GIG28" si="2509">GIE$28*$C$28</f>
        <v>1025071786150290.1</v>
      </c>
      <c r="GII28" s="613">
        <f t="shared" ref="GII28" si="2510">GIG$28*$C$28</f>
        <v>1035322504011793</v>
      </c>
      <c r="GIK28" s="613">
        <f t="shared" ref="GIK28" si="2511">GII$28*$C$28</f>
        <v>1045675729051911</v>
      </c>
      <c r="GIM28" s="613">
        <f t="shared" ref="GIM28" si="2512">GIK$28*$C$28</f>
        <v>1056132486342430.1</v>
      </c>
      <c r="GIO28" s="613">
        <f t="shared" ref="GIO28" si="2513">GIM$28*$C$28</f>
        <v>1066693811205854.4</v>
      </c>
      <c r="GIQ28" s="613">
        <f t="shared" ref="GIQ28" si="2514">GIO$28*$C$28</f>
        <v>1077360749317912.9</v>
      </c>
      <c r="GIS28" s="613">
        <f t="shared" ref="GIS28" si="2515">GIQ$28*$C$28</f>
        <v>1088134356811092</v>
      </c>
      <c r="GIU28" s="613">
        <f t="shared" ref="GIU28" si="2516">GIS$28*$C$28</f>
        <v>1099015700379202.9</v>
      </c>
      <c r="GIW28" s="613">
        <f t="shared" ref="GIW28" si="2517">GIU$28*$C$28</f>
        <v>1110005857382994.9</v>
      </c>
      <c r="GIY28" s="613">
        <f t="shared" ref="GIY28" si="2518">GIW$28*$C$28</f>
        <v>1121105915956824.9</v>
      </c>
      <c r="GJA28" s="613">
        <f t="shared" ref="GJA28" si="2519">GIY$28*$C$28</f>
        <v>1132316975116393.3</v>
      </c>
      <c r="GJC28" s="613">
        <f t="shared" ref="GJC28" si="2520">GJA$28*$C$28</f>
        <v>1143640144867557.3</v>
      </c>
      <c r="GJE28" s="613">
        <f t="shared" ref="GJE28" si="2521">GJC$28*$C$28</f>
        <v>1155076546316232.8</v>
      </c>
      <c r="GJG28" s="613">
        <f t="shared" ref="GJG28" si="2522">GJE$28*$C$28</f>
        <v>1166627311779395</v>
      </c>
      <c r="GJI28" s="613">
        <f t="shared" ref="GJI28" si="2523">GJG$28*$C$28</f>
        <v>1178293584897189</v>
      </c>
      <c r="GJK28" s="613">
        <f t="shared" ref="GJK28" si="2524">GJI$28*$C$28</f>
        <v>1190076520746161</v>
      </c>
      <c r="GJM28" s="613">
        <f t="shared" ref="GJM28" si="2525">GJK$28*$C$28</f>
        <v>1201977285953622.5</v>
      </c>
      <c r="GJO28" s="613">
        <f t="shared" ref="GJO28" si="2526">GJM$28*$C$28</f>
        <v>1213997058813158.8</v>
      </c>
      <c r="GJQ28" s="613">
        <f t="shared" ref="GJQ28" si="2527">GJO$28*$C$28</f>
        <v>1226137029401290.3</v>
      </c>
      <c r="GJS28" s="613">
        <f t="shared" ref="GJS28" si="2528">GJQ$28*$C$28</f>
        <v>1238398399695303.3</v>
      </c>
      <c r="GJU28" s="613">
        <f t="shared" ref="GJU28" si="2529">GJS$28*$C$28</f>
        <v>1250782383692256.3</v>
      </c>
      <c r="GJW28" s="613">
        <f t="shared" ref="GJW28" si="2530">GJU$28*$C$28</f>
        <v>1263290207529178.8</v>
      </c>
      <c r="GJY28" s="613">
        <f t="shared" ref="GJY28" si="2531">GJW$28*$C$28</f>
        <v>1275923109604470.5</v>
      </c>
      <c r="GKA28" s="613">
        <f t="shared" ref="GKA28" si="2532">GJY$28*$C$28</f>
        <v>1288682340700515.3</v>
      </c>
      <c r="GKC28" s="613">
        <f t="shared" ref="GKC28" si="2533">GKA$28*$C$28</f>
        <v>1301569164107520.5</v>
      </c>
      <c r="GKE28" s="613">
        <f t="shared" ref="GKE28" si="2534">GKC$28*$C$28</f>
        <v>1314584855748595.8</v>
      </c>
      <c r="GKG28" s="613">
        <f t="shared" ref="GKG28" si="2535">GKE$28*$C$28</f>
        <v>1327730704306081.8</v>
      </c>
      <c r="GKI28" s="613">
        <f t="shared" ref="GKI28" si="2536">GKG$28*$C$28</f>
        <v>1341008011349142.5</v>
      </c>
      <c r="GKK28" s="613">
        <f t="shared" ref="GKK28" si="2537">GKI$28*$C$28</f>
        <v>1354418091462634</v>
      </c>
      <c r="GKM28" s="613">
        <f t="shared" ref="GKM28" si="2538">GKK$28*$C$28</f>
        <v>1367962272377260.3</v>
      </c>
      <c r="GKO28" s="613">
        <f t="shared" ref="GKO28" si="2539">GKM$28*$C$28</f>
        <v>1381641895101032.8</v>
      </c>
      <c r="GKQ28" s="613">
        <f t="shared" ref="GKQ28" si="2540">GKO$28*$C$28</f>
        <v>1395458314052043</v>
      </c>
      <c r="GKS28" s="613">
        <f t="shared" ref="GKS28" si="2541">GKQ$28*$C$28</f>
        <v>1409412897192563.5</v>
      </c>
      <c r="GKU28" s="613">
        <f t="shared" ref="GKU28" si="2542">GKS$28*$C$28</f>
        <v>1423507026164489.3</v>
      </c>
      <c r="GKW28" s="613">
        <f t="shared" ref="GKW28" si="2543">GKU$28*$C$28</f>
        <v>1437742096426134.3</v>
      </c>
      <c r="GKY28" s="613">
        <f t="shared" ref="GKY28" si="2544">GKW$28*$C$28</f>
        <v>1452119517390395.5</v>
      </c>
      <c r="GLA28" s="613">
        <f t="shared" ref="GLA28" si="2545">GKY$28*$C$28</f>
        <v>1466640712564299.5</v>
      </c>
      <c r="GLC28" s="613">
        <f t="shared" ref="GLC28" si="2546">GLA$28*$C$28</f>
        <v>1481307119689942.5</v>
      </c>
      <c r="GLE28" s="613">
        <f t="shared" ref="GLE28" si="2547">GLC$28*$C$28</f>
        <v>1496120190886842</v>
      </c>
      <c r="GLG28" s="613">
        <f t="shared" ref="GLG28" si="2548">GLE$28*$C$28</f>
        <v>1511081392795710.5</v>
      </c>
      <c r="GLI28" s="613">
        <f t="shared" ref="GLI28" si="2549">GLG$28*$C$28</f>
        <v>1526192206723667.5</v>
      </c>
      <c r="GLK28" s="613">
        <f t="shared" ref="GLK28" si="2550">GLI$28*$C$28</f>
        <v>1541454128790904.3</v>
      </c>
      <c r="GLM28" s="613">
        <f t="shared" ref="GLM28" si="2551">GLK$28*$C$28</f>
        <v>1556868670078813.3</v>
      </c>
      <c r="GLO28" s="613">
        <f t="shared" ref="GLO28" si="2552">GLM$28*$C$28</f>
        <v>1572437356779601.5</v>
      </c>
      <c r="GLQ28" s="613">
        <f t="shared" ref="GLQ28" si="2553">GLO$28*$C$28</f>
        <v>1588161730347397.5</v>
      </c>
      <c r="GLS28" s="613">
        <f t="shared" ref="GLS28" si="2554">GLQ$28*$C$28</f>
        <v>1604043347650871.5</v>
      </c>
      <c r="GLU28" s="613">
        <f t="shared" ref="GLU28" si="2555">GLS$28*$C$28</f>
        <v>1620083781127380.3</v>
      </c>
      <c r="GLW28" s="613">
        <f t="shared" ref="GLW28" si="2556">GLU$28*$C$28</f>
        <v>1636284618938654</v>
      </c>
      <c r="GLY28" s="613">
        <f t="shared" ref="GLY28" si="2557">GLW$28*$C$28</f>
        <v>1652647465128040.5</v>
      </c>
      <c r="GMA28" s="613">
        <f t="shared" ref="GMA28" si="2558">GLY$28*$C$28</f>
        <v>1669173939779321</v>
      </c>
      <c r="GMC28" s="613">
        <f t="shared" ref="GMC28" si="2559">GMA$28*$C$28</f>
        <v>1685865679177114.3</v>
      </c>
      <c r="GME28" s="613">
        <f t="shared" ref="GME28" si="2560">GMC$28*$C$28</f>
        <v>1702724335968885.5</v>
      </c>
      <c r="GMG28" s="613">
        <f t="shared" ref="GMG28" si="2561">GME$28*$C$28</f>
        <v>1719751579328574.3</v>
      </c>
      <c r="GMI28" s="613">
        <f t="shared" ref="GMI28" si="2562">GMG$28*$C$28</f>
        <v>1736949095121860</v>
      </c>
      <c r="GMK28" s="613">
        <f t="shared" ref="GMK28" si="2563">GMI$28*$C$28</f>
        <v>1754318586073078.5</v>
      </c>
      <c r="GMM28" s="613">
        <f t="shared" ref="GMM28" si="2564">GMK$28*$C$28</f>
        <v>1771861771933809.3</v>
      </c>
      <c r="GMO28" s="613">
        <f t="shared" ref="GMO28" si="2565">GMM$28*$C$28</f>
        <v>1789580389653147.3</v>
      </c>
      <c r="GMQ28" s="613">
        <f t="shared" ref="GMQ28" si="2566">GMO$28*$C$28</f>
        <v>1807476193549678.8</v>
      </c>
      <c r="GMS28" s="613">
        <f t="shared" ref="GMS28" si="2567">GMQ$28*$C$28</f>
        <v>1825550955485175.5</v>
      </c>
      <c r="GMU28" s="613">
        <f t="shared" ref="GMU28" si="2568">GMS$28*$C$28</f>
        <v>1843806465040027.3</v>
      </c>
      <c r="GMW28" s="613">
        <f t="shared" ref="GMW28" si="2569">GMU$28*$C$28</f>
        <v>1862244529690427.5</v>
      </c>
      <c r="GMY28" s="613">
        <f t="shared" ref="GMY28" si="2570">GMW$28*$C$28</f>
        <v>1880866974987331.8</v>
      </c>
      <c r="GNA28" s="613">
        <f t="shared" ref="GNA28" si="2571">GMY$28*$C$28</f>
        <v>1899675644737205</v>
      </c>
      <c r="GNC28" s="613">
        <f t="shared" ref="GNC28" si="2572">GNA$28*$C$28</f>
        <v>1918672401184577</v>
      </c>
      <c r="GNE28" s="613">
        <f t="shared" ref="GNE28" si="2573">GNC$28*$C$28</f>
        <v>1937859125196422.8</v>
      </c>
      <c r="GNG28" s="613">
        <f t="shared" ref="GNG28" si="2574">GNE$28*$C$28</f>
        <v>1957237716448387</v>
      </c>
      <c r="GNI28" s="613">
        <f t="shared" ref="GNI28" si="2575">GNG$28*$C$28</f>
        <v>1976810093612871</v>
      </c>
      <c r="GNK28" s="613">
        <f t="shared" ref="GNK28" si="2576">GNI$28*$C$28</f>
        <v>1996578194548999.8</v>
      </c>
      <c r="GNM28" s="613">
        <f t="shared" ref="GNM28" si="2577">GNK$28*$C$28</f>
        <v>2016543976494489.8</v>
      </c>
      <c r="GNO28" s="613">
        <f t="shared" ref="GNO28" si="2578">GNM$28*$C$28</f>
        <v>2036709416259434.8</v>
      </c>
      <c r="GNQ28" s="613">
        <f t="shared" ref="GNQ28" si="2579">GNO$28*$C$28</f>
        <v>2057076510422029</v>
      </c>
      <c r="GNS28" s="613">
        <f t="shared" ref="GNS28" si="2580">GNQ$28*$C$28</f>
        <v>2077647275526249.3</v>
      </c>
      <c r="GNU28" s="613">
        <f t="shared" ref="GNU28" si="2581">GNS$28*$C$28</f>
        <v>2098423748281511.8</v>
      </c>
      <c r="GNW28" s="613">
        <f t="shared" ref="GNW28" si="2582">GNU$28*$C$28</f>
        <v>2119407985764327</v>
      </c>
      <c r="GNY28" s="613">
        <f t="shared" ref="GNY28" si="2583">GNW$28*$C$28</f>
        <v>2140602065621970.3</v>
      </c>
      <c r="GOA28" s="613">
        <f t="shared" ref="GOA28" si="2584">GNY$28*$C$28</f>
        <v>2162008086278190</v>
      </c>
      <c r="GOC28" s="613">
        <f t="shared" ref="GOC28" si="2585">GOA$28*$C$28</f>
        <v>2183628167140972</v>
      </c>
      <c r="GOE28" s="613">
        <f t="shared" ref="GOE28" si="2586">GOC$28*$C$28</f>
        <v>2205464448812381.8</v>
      </c>
      <c r="GOG28" s="613">
        <f t="shared" ref="GOG28" si="2587">GOE$28*$C$28</f>
        <v>2227519093300505.5</v>
      </c>
      <c r="GOI28" s="613">
        <f t="shared" ref="GOI28" si="2588">GOG$28*$C$28</f>
        <v>2249794284233510.5</v>
      </c>
      <c r="GOK28" s="613">
        <f t="shared" ref="GOK28" si="2589">GOI$28*$C$28</f>
        <v>2272292227075845.5</v>
      </c>
      <c r="GOM28" s="613">
        <f t="shared" ref="GOM28" si="2590">GOK$28*$C$28</f>
        <v>2295015149346604</v>
      </c>
      <c r="GOO28" s="613">
        <f t="shared" ref="GOO28" si="2591">GOM$28*$C$28</f>
        <v>2317965300840070</v>
      </c>
      <c r="GOQ28" s="613">
        <f t="shared" ref="GOQ28" si="2592">GOO$28*$C$28</f>
        <v>2341144953848470.5</v>
      </c>
      <c r="GOS28" s="613">
        <f t="shared" ref="GOS28" si="2593">GOQ$28*$C$28</f>
        <v>2364556403386955</v>
      </c>
      <c r="GOU28" s="613">
        <f t="shared" ref="GOU28" si="2594">GOS$28*$C$28</f>
        <v>2388201967420824.5</v>
      </c>
      <c r="GOW28" s="613">
        <f t="shared" ref="GOW28" si="2595">GOU$28*$C$28</f>
        <v>2412083987095033</v>
      </c>
      <c r="GOY28" s="613">
        <f t="shared" ref="GOY28" si="2596">GOW$28*$C$28</f>
        <v>2436204826965983.5</v>
      </c>
      <c r="GPA28" s="613">
        <f t="shared" ref="GPA28" si="2597">GOY$28*$C$28</f>
        <v>2460566875235643.5</v>
      </c>
      <c r="GPC28" s="613">
        <f t="shared" ref="GPC28" si="2598">GPA$28*$C$28</f>
        <v>2485172543988000</v>
      </c>
      <c r="GPE28" s="613">
        <f t="shared" ref="GPE28" si="2599">GPC$28*$C$28</f>
        <v>2510024269427880</v>
      </c>
      <c r="GPG28" s="613">
        <f t="shared" ref="GPG28" si="2600">GPE$28*$C$28</f>
        <v>2535124512122159</v>
      </c>
      <c r="GPI28" s="613">
        <f t="shared" ref="GPI28" si="2601">GPG$28*$C$28</f>
        <v>2560475757243380.5</v>
      </c>
      <c r="GPK28" s="613">
        <f t="shared" ref="GPK28" si="2602">GPI$28*$C$28</f>
        <v>2586080514815814.5</v>
      </c>
      <c r="GPM28" s="613">
        <f t="shared" ref="GPM28" si="2603">GPK$28*$C$28</f>
        <v>2611941319963972.5</v>
      </c>
      <c r="GPO28" s="613">
        <f t="shared" ref="GPO28" si="2604">GPM$28*$C$28</f>
        <v>2638060733163612</v>
      </c>
      <c r="GPQ28" s="613">
        <f t="shared" ref="GPQ28" si="2605">GPO$28*$C$28</f>
        <v>2664441340495248</v>
      </c>
      <c r="GPS28" s="613">
        <f t="shared" ref="GPS28" si="2606">GPQ$28*$C$28</f>
        <v>2691085753900200.5</v>
      </c>
      <c r="GPU28" s="613">
        <f t="shared" ref="GPU28" si="2607">GPS$28*$C$28</f>
        <v>2717996611439202.5</v>
      </c>
      <c r="GPW28" s="613">
        <f t="shared" ref="GPW28" si="2608">GPU$28*$C$28</f>
        <v>2745176577553594.5</v>
      </c>
      <c r="GPY28" s="613">
        <f t="shared" ref="GPY28" si="2609">GPW$28*$C$28</f>
        <v>2772628343329130.5</v>
      </c>
      <c r="GQA28" s="613">
        <f t="shared" ref="GQA28" si="2610">GPY$28*$C$28</f>
        <v>2800354626762422</v>
      </c>
      <c r="GQC28" s="613">
        <f t="shared" ref="GQC28" si="2611">GQA$28*$C$28</f>
        <v>2828358173030046</v>
      </c>
      <c r="GQE28" s="613">
        <f t="shared" ref="GQE28" si="2612">GQC$28*$C$28</f>
        <v>2856641754760346.5</v>
      </c>
      <c r="GQG28" s="613">
        <f t="shared" ref="GQG28" si="2613">GQE$28*$C$28</f>
        <v>2885208172307950</v>
      </c>
      <c r="GQI28" s="613">
        <f t="shared" ref="GQI28" si="2614">GQG$28*$C$28</f>
        <v>2914060254031029.5</v>
      </c>
      <c r="GQK28" s="613">
        <f t="shared" ref="GQK28" si="2615">GQI$28*$C$28</f>
        <v>2943200856571340</v>
      </c>
      <c r="GQM28" s="613">
        <f t="shared" ref="GQM28" si="2616">GQK$28*$C$28</f>
        <v>2972632865137053.5</v>
      </c>
      <c r="GQO28" s="613">
        <f t="shared" ref="GQO28" si="2617">GQM$28*$C$28</f>
        <v>3002359193788424</v>
      </c>
      <c r="GQQ28" s="613">
        <f t="shared" ref="GQQ28" si="2618">GQO$28*$C$28</f>
        <v>3032382785726308.5</v>
      </c>
      <c r="GQS28" s="613">
        <f t="shared" ref="GQS28" si="2619">GQQ$28*$C$28</f>
        <v>3062706613583571.5</v>
      </c>
      <c r="GQU28" s="613">
        <f t="shared" ref="GQU28" si="2620">GQS$28*$C$28</f>
        <v>3093333679719407</v>
      </c>
      <c r="GQW28" s="613">
        <f t="shared" ref="GQW28" si="2621">GQU$28*$C$28</f>
        <v>3124267016516601</v>
      </c>
      <c r="GQY28" s="613">
        <f t="shared" ref="GQY28" si="2622">GQW$28*$C$28</f>
        <v>3155509686681767</v>
      </c>
      <c r="GRA28" s="613">
        <f t="shared" ref="GRA28" si="2623">GQY$28*$C$28</f>
        <v>3187064783548584.5</v>
      </c>
      <c r="GRC28" s="613">
        <f t="shared" ref="GRC28" si="2624">GRA$28*$C$28</f>
        <v>3218935431384070.5</v>
      </c>
      <c r="GRE28" s="613">
        <f t="shared" ref="GRE28" si="2625">GRC$28*$C$28</f>
        <v>3251124785697911</v>
      </c>
      <c r="GRG28" s="613">
        <f t="shared" ref="GRG28" si="2626">GRE$28*$C$28</f>
        <v>3283636033554890</v>
      </c>
      <c r="GRI28" s="613">
        <f t="shared" ref="GRI28" si="2627">GRG$28*$C$28</f>
        <v>3316472393890439</v>
      </c>
      <c r="GRK28" s="613">
        <f t="shared" ref="GRK28" si="2628">GRI$28*$C$28</f>
        <v>3349637117829343.5</v>
      </c>
      <c r="GRM28" s="613">
        <f t="shared" ref="GRM28" si="2629">GRK$28*$C$28</f>
        <v>3383133489007637</v>
      </c>
      <c r="GRO28" s="613">
        <f t="shared" ref="GRO28" si="2630">GRM$28*$C$28</f>
        <v>3416964823897713.5</v>
      </c>
      <c r="GRQ28" s="613">
        <f t="shared" ref="GRQ28" si="2631">GRO$28*$C$28</f>
        <v>3451134472136690.5</v>
      </c>
      <c r="GRS28" s="613">
        <f t="shared" ref="GRS28" si="2632">GRQ$28*$C$28</f>
        <v>3485645816858057.5</v>
      </c>
      <c r="GRU28" s="613">
        <f t="shared" ref="GRU28" si="2633">GRS$28*$C$28</f>
        <v>3520502275026638</v>
      </c>
      <c r="GRW28" s="613">
        <f t="shared" ref="GRW28" si="2634">GRU$28*$C$28</f>
        <v>3555707297776904.5</v>
      </c>
      <c r="GRY28" s="613">
        <f t="shared" ref="GRY28" si="2635">GRW$28*$C$28</f>
        <v>3591264370754673.5</v>
      </c>
      <c r="GSA28" s="613">
        <f t="shared" ref="GSA28" si="2636">GRY$28*$C$28</f>
        <v>3627177014462220.5</v>
      </c>
      <c r="GSC28" s="613">
        <f t="shared" ref="GSC28" si="2637">GSA$28*$C$28</f>
        <v>3663448784606842.5</v>
      </c>
      <c r="GSE28" s="613">
        <f t="shared" ref="GSE28" si="2638">GSC$28*$C$28</f>
        <v>3700083272452911</v>
      </c>
      <c r="GSG28" s="613">
        <f t="shared" ref="GSG28" si="2639">GSE$28*$C$28</f>
        <v>3737084105177440</v>
      </c>
      <c r="GSI28" s="613">
        <f t="shared" ref="GSI28" si="2640">GSG$28*$C$28</f>
        <v>3774454946229214.5</v>
      </c>
      <c r="GSK28" s="613">
        <f t="shared" ref="GSK28" si="2641">GSI$28*$C$28</f>
        <v>3812199495691506.5</v>
      </c>
      <c r="GSM28" s="613">
        <f t="shared" ref="GSM28" si="2642">GSK$28*$C$28</f>
        <v>3850321490648421.5</v>
      </c>
      <c r="GSO28" s="613">
        <f t="shared" ref="GSO28" si="2643">GSM$28*$C$28</f>
        <v>3888824705554905.5</v>
      </c>
      <c r="GSQ28" s="613">
        <f t="shared" ref="GSQ28" si="2644">GSO$28*$C$28</f>
        <v>3927712952610454.5</v>
      </c>
      <c r="GSS28" s="613">
        <f t="shared" ref="GSS28" si="2645">GSQ$28*$C$28</f>
        <v>3966990082136559</v>
      </c>
      <c r="GSU28" s="613">
        <f t="shared" ref="GSU28" si="2646">GSS$28*$C$28</f>
        <v>4006659982957924.5</v>
      </c>
      <c r="GSW28" s="613">
        <f t="shared" ref="GSW28" si="2647">GSU$28*$C$28</f>
        <v>4046726582787504</v>
      </c>
      <c r="GSY28" s="613">
        <f t="shared" ref="GSY28" si="2648">GSW$28*$C$28</f>
        <v>4087193848615379</v>
      </c>
      <c r="GTA28" s="613">
        <f t="shared" ref="GTA28" si="2649">GSY$28*$C$28</f>
        <v>4128065787101533</v>
      </c>
      <c r="GTC28" s="613">
        <f t="shared" ref="GTC28" si="2650">GTA$28*$C$28</f>
        <v>4169346444972548.5</v>
      </c>
      <c r="GTE28" s="613">
        <f t="shared" ref="GTE28" si="2651">GTC$28*$C$28</f>
        <v>4211039909422274</v>
      </c>
      <c r="GTG28" s="613">
        <f t="shared" ref="GTG28" si="2652">GTE$28*$C$28</f>
        <v>4253150308516497</v>
      </c>
      <c r="GTI28" s="613">
        <f t="shared" ref="GTI28" si="2653">GTG$28*$C$28</f>
        <v>4295681811601662</v>
      </c>
      <c r="GTK28" s="613">
        <f t="shared" ref="GTK28" si="2654">GTI$28*$C$28</f>
        <v>4338638629717678.5</v>
      </c>
      <c r="GTM28" s="613">
        <f t="shared" ref="GTM28" si="2655">GTK$28*$C$28</f>
        <v>4382025016014855.5</v>
      </c>
      <c r="GTO28" s="613">
        <f t="shared" ref="GTO28" si="2656">GTM$28*$C$28</f>
        <v>4425845266175004</v>
      </c>
      <c r="GTQ28" s="613">
        <f t="shared" ref="GTQ28" si="2657">GTO$28*$C$28</f>
        <v>4470103718836754</v>
      </c>
      <c r="GTS28" s="613">
        <f t="shared" ref="GTS28" si="2658">GTQ$28*$C$28</f>
        <v>4514804756025122</v>
      </c>
      <c r="GTU28" s="613">
        <f t="shared" ref="GTU28" si="2659">GTS$28*$C$28</f>
        <v>4559952803585373</v>
      </c>
      <c r="GTW28" s="613">
        <f t="shared" ref="GTW28" si="2660">GTU$28*$C$28</f>
        <v>4605552331621227</v>
      </c>
      <c r="GTY28" s="613">
        <f t="shared" ref="GTY28" si="2661">GTW$28*$C$28</f>
        <v>4651607854937439</v>
      </c>
      <c r="GUA28" s="613">
        <f t="shared" ref="GUA28" si="2662">GTY$28*$C$28</f>
        <v>4698123933486813</v>
      </c>
      <c r="GUC28" s="613">
        <f t="shared" ref="GUC28" si="2663">GUA$28*$C$28</f>
        <v>4745105172821681</v>
      </c>
      <c r="GUE28" s="613">
        <f t="shared" ref="GUE28" si="2664">GUC$28*$C$28</f>
        <v>4792556224549898</v>
      </c>
      <c r="GUG28" s="613">
        <f t="shared" ref="GUG28" si="2665">GUE$28*$C$28</f>
        <v>4840481786795397</v>
      </c>
      <c r="GUI28" s="613">
        <f t="shared" ref="GUI28" si="2666">GUG$28*$C$28</f>
        <v>4888886604663351</v>
      </c>
      <c r="GUK28" s="613">
        <f t="shared" ref="GUK28" si="2667">GUI$28*$C$28</f>
        <v>4937775470709985</v>
      </c>
      <c r="GUM28" s="613">
        <f t="shared" ref="GUM28" si="2668">GUK$28*$C$28</f>
        <v>4987153225417085</v>
      </c>
      <c r="GUO28" s="613">
        <f t="shared" ref="GUO28" si="2669">GUM$28*$C$28</f>
        <v>5037024757671256</v>
      </c>
      <c r="GUQ28" s="613">
        <f t="shared" ref="GUQ28" si="2670">GUO$28*$C$28</f>
        <v>5087395005247969</v>
      </c>
      <c r="GUS28" s="613">
        <f t="shared" ref="GUS28" si="2671">GUQ$28*$C$28</f>
        <v>5138268955300449</v>
      </c>
      <c r="GUU28" s="613">
        <f t="shared" ref="GUU28" si="2672">GUS$28*$C$28</f>
        <v>5189651644853454</v>
      </c>
      <c r="GUW28" s="613">
        <f t="shared" ref="GUW28" si="2673">GUU$28*$C$28</f>
        <v>5241548161301989</v>
      </c>
      <c r="GUY28" s="613">
        <f t="shared" ref="GUY28" si="2674">GUW$28*$C$28</f>
        <v>5293963642915009</v>
      </c>
      <c r="GVA28" s="613">
        <f t="shared" ref="GVA28" si="2675">GUY$28*$C$28</f>
        <v>5346903279344159</v>
      </c>
      <c r="GVC28" s="613">
        <f t="shared" ref="GVC28" si="2676">GVA$28*$C$28</f>
        <v>5400372312137601</v>
      </c>
      <c r="GVE28" s="613">
        <f t="shared" ref="GVE28" si="2677">GVC$28*$C$28</f>
        <v>5454376035258977</v>
      </c>
      <c r="GVG28" s="613">
        <f t="shared" ref="GVG28" si="2678">GVE$28*$C$28</f>
        <v>5508919795611567</v>
      </c>
      <c r="GVI28" s="613">
        <f t="shared" ref="GVI28" si="2679">GVG$28*$C$28</f>
        <v>5564008993567683</v>
      </c>
      <c r="GVK28" s="613">
        <f t="shared" ref="GVK28" si="2680">GVI$28*$C$28</f>
        <v>5619649083503360</v>
      </c>
      <c r="GVM28" s="613">
        <f t="shared" ref="GVM28" si="2681">GVK$28*$C$28</f>
        <v>5675845574338394</v>
      </c>
      <c r="GVO28" s="613">
        <f t="shared" ref="GVO28" si="2682">GVM$28*$C$28</f>
        <v>5732604030081778</v>
      </c>
      <c r="GVQ28" s="613">
        <f t="shared" ref="GVQ28" si="2683">GVO$28*$C$28</f>
        <v>5789930070382596</v>
      </c>
      <c r="GVS28" s="613">
        <f t="shared" ref="GVS28" si="2684">GVQ$28*$C$28</f>
        <v>5847829371086422</v>
      </c>
      <c r="GVU28" s="613">
        <f t="shared" ref="GVU28" si="2685">GVS$28*$C$28</f>
        <v>5906307664797286</v>
      </c>
      <c r="GVW28" s="613">
        <f t="shared" ref="GVW28" si="2686">GVU$28*$C$28</f>
        <v>5965370741445259</v>
      </c>
      <c r="GVY28" s="613">
        <f t="shared" ref="GVY28" si="2687">GVW$28*$C$28</f>
        <v>6025024448859712</v>
      </c>
      <c r="GWA28" s="613">
        <f t="shared" ref="GWA28" si="2688">GVY$28*$C$28</f>
        <v>6085274693348309</v>
      </c>
      <c r="GWC28" s="613">
        <f t="shared" ref="GWC28" si="2689">GWA$28*$C$28</f>
        <v>6146127440281792</v>
      </c>
      <c r="GWE28" s="613">
        <f t="shared" ref="GWE28" si="2690">GWC$28*$C$28</f>
        <v>6207588714684610</v>
      </c>
      <c r="GWG28" s="613">
        <f t="shared" ref="GWG28" si="2691">GWE$28*$C$28</f>
        <v>6269664601831456</v>
      </c>
      <c r="GWI28" s="613">
        <f t="shared" ref="GWI28" si="2692">GWG$28*$C$28</f>
        <v>6332361247849771</v>
      </c>
      <c r="GWK28" s="613">
        <f t="shared" ref="GWK28" si="2693">GWI$28*$C$28</f>
        <v>6395684860328269</v>
      </c>
      <c r="GWM28" s="613">
        <f t="shared" ref="GWM28" si="2694">GWK$28*$C$28</f>
        <v>6459641708931552</v>
      </c>
      <c r="GWO28" s="613">
        <f t="shared" ref="GWO28" si="2695">GWM$28*$C$28</f>
        <v>6524238126020868</v>
      </c>
      <c r="GWQ28" s="613">
        <f t="shared" ref="GWQ28" si="2696">GWO$28*$C$28</f>
        <v>6589480507281077</v>
      </c>
      <c r="GWS28" s="613">
        <f t="shared" ref="GWS28" si="2697">GWQ$28*$C$28</f>
        <v>6655375312353888</v>
      </c>
      <c r="GWU28" s="613">
        <f t="shared" ref="GWU28" si="2698">GWS$28*$C$28</f>
        <v>6721929065477427</v>
      </c>
      <c r="GWW28" s="613">
        <f t="shared" ref="GWW28" si="2699">GWU$28*$C$28</f>
        <v>6789148356132201</v>
      </c>
      <c r="GWY28" s="613">
        <f t="shared" ref="GWY28" si="2700">GWW$28*$C$28</f>
        <v>6857039839693523</v>
      </c>
      <c r="GXA28" s="613">
        <f t="shared" ref="GXA28" si="2701">GWY$28*$C$28</f>
        <v>6925610238090458</v>
      </c>
      <c r="GXC28" s="613">
        <f t="shared" ref="GXC28" si="2702">GXA$28*$C$28</f>
        <v>6994866340471363</v>
      </c>
      <c r="GXE28" s="613">
        <f t="shared" ref="GXE28" si="2703">GXC$28*$C$28</f>
        <v>7064815003876077</v>
      </c>
      <c r="GXG28" s="613">
        <f t="shared" ref="GXG28" si="2704">GXE$28*$C$28</f>
        <v>7135463153914838</v>
      </c>
      <c r="GXI28" s="613">
        <f t="shared" ref="GXI28" si="2705">GXG$28*$C$28</f>
        <v>7206817785453986</v>
      </c>
      <c r="GXK28" s="613">
        <f t="shared" ref="GXK28" si="2706">GXI$28*$C$28</f>
        <v>7278885963308526</v>
      </c>
      <c r="GXM28" s="613">
        <f t="shared" ref="GXM28" si="2707">GXK$28*$C$28</f>
        <v>7351674822941611</v>
      </c>
      <c r="GXO28" s="613">
        <f t="shared" ref="GXO28" si="2708">GXM$28*$C$28</f>
        <v>7425191571171027</v>
      </c>
      <c r="GXQ28" s="613">
        <f t="shared" ref="GXQ28" si="2709">GXO$28*$C$28</f>
        <v>7499443486882737</v>
      </c>
      <c r="GXS28" s="613">
        <f t="shared" ref="GXS28" si="2710">GXQ$28*$C$28</f>
        <v>7574437921751564</v>
      </c>
      <c r="GXU28" s="613">
        <f t="shared" ref="GXU28" si="2711">GXS$28*$C$28</f>
        <v>7650182300969080</v>
      </c>
      <c r="GXW28" s="613">
        <f t="shared" ref="GXW28" si="2712">GXU$28*$C$28</f>
        <v>7726684123978771</v>
      </c>
      <c r="GXY28" s="613">
        <f t="shared" ref="GXY28" si="2713">GXW$28*$C$28</f>
        <v>7803950965218559</v>
      </c>
      <c r="GYA28" s="613">
        <f t="shared" ref="GYA28" si="2714">GXY$28*$C$28</f>
        <v>7881990474870745</v>
      </c>
      <c r="GYC28" s="613">
        <f t="shared" ref="GYC28" si="2715">GYA$28*$C$28</f>
        <v>7960810379619453</v>
      </c>
      <c r="GYE28" s="613">
        <f t="shared" ref="GYE28" si="2716">GYC$28*$C$28</f>
        <v>8040418483415648</v>
      </c>
      <c r="GYG28" s="613">
        <f t="shared" ref="GYG28" si="2717">GYE$28*$C$28</f>
        <v>8120822668249805</v>
      </c>
      <c r="GYI28" s="613">
        <f t="shared" ref="GYI28" si="2718">GYG$28*$C$28</f>
        <v>8202030894932303</v>
      </c>
      <c r="GYK28" s="613">
        <f t="shared" ref="GYK28" si="2719">GYI$28*$C$28</f>
        <v>8284051203881626</v>
      </c>
      <c r="GYM28" s="613">
        <f t="shared" ref="GYM28" si="2720">GYK$28*$C$28</f>
        <v>8366891715920442</v>
      </c>
      <c r="GYO28" s="613">
        <f t="shared" ref="GYO28" si="2721">GYM$28*$C$28</f>
        <v>8450560633079646</v>
      </c>
      <c r="GYQ28" s="613">
        <f t="shared" ref="GYQ28" si="2722">GYO$28*$C$28</f>
        <v>8535066239410443</v>
      </c>
      <c r="GYS28" s="613">
        <f t="shared" ref="GYS28" si="2723">GYQ$28*$C$28</f>
        <v>8620416901804548</v>
      </c>
      <c r="GYU28" s="613">
        <f t="shared" ref="GYU28" si="2724">GYS$28*$C$28</f>
        <v>8706621070822594</v>
      </c>
      <c r="GYW28" s="613">
        <f t="shared" ref="GYW28" si="2725">GYU$28*$C$28</f>
        <v>8793687281530820</v>
      </c>
      <c r="GYY28" s="613">
        <f t="shared" ref="GYY28" si="2726">GYW$28*$C$28</f>
        <v>8881624154346128</v>
      </c>
      <c r="GZA28" s="613">
        <f t="shared" ref="GZA28" si="2727">GYY$28*$C$28</f>
        <v>8970440395889589</v>
      </c>
      <c r="GZC28" s="613">
        <f t="shared" ref="GZC28" si="2728">GZA$28*$C$28</f>
        <v>9060144799848484</v>
      </c>
      <c r="GZE28" s="613">
        <f t="shared" ref="GZE28" si="2729">GZC$28*$C$28</f>
        <v>9150746247846968</v>
      </c>
      <c r="GZG28" s="613">
        <f t="shared" ref="GZG28" si="2730">GZE$28*$C$28</f>
        <v>9242253710325438</v>
      </c>
      <c r="GZI28" s="613">
        <f t="shared" ref="GZI28" si="2731">GZG$28*$C$28</f>
        <v>9334676247428692</v>
      </c>
      <c r="GZK28" s="613">
        <f t="shared" ref="GZK28" si="2732">GZI$28*$C$28</f>
        <v>9428023009902980</v>
      </c>
      <c r="GZM28" s="613">
        <f t="shared" ref="GZM28" si="2733">GZK$28*$C$28</f>
        <v>9522303240002010</v>
      </c>
      <c r="GZO28" s="613">
        <f t="shared" ref="GZO28" si="2734">GZM$28*$C$28</f>
        <v>9617526272402030</v>
      </c>
      <c r="GZQ28" s="613">
        <f t="shared" ref="GZQ28" si="2735">GZO$28*$C$28</f>
        <v>9713701535126050</v>
      </c>
      <c r="GZS28" s="613">
        <f t="shared" ref="GZS28" si="2736">GZQ$28*$C$28</f>
        <v>9810838550477310</v>
      </c>
      <c r="GZU28" s="613">
        <f t="shared" ref="GZU28" si="2737">GZS$28*$C$28</f>
        <v>9908946935982084</v>
      </c>
      <c r="GZW28" s="613">
        <f t="shared" ref="GZW28" si="2738">GZU$28*$C$28</f>
        <v>1.0008036405341904E+16</v>
      </c>
      <c r="GZY28" s="613">
        <f t="shared" ref="GZY28" si="2739">GZW$28*$C$28</f>
        <v>1.0108116769395324E+16</v>
      </c>
      <c r="HAA28" s="613">
        <f t="shared" ref="HAA28" si="2740">GZY$28*$C$28</f>
        <v>1.0209197937089278E+16</v>
      </c>
      <c r="HAC28" s="613">
        <f t="shared" ref="HAC28" si="2741">HAA$28*$C$28</f>
        <v>1.031128991646017E+16</v>
      </c>
      <c r="HAE28" s="613">
        <f t="shared" ref="HAE28" si="2742">HAC$28*$C$28</f>
        <v>1.0414402815624772E+16</v>
      </c>
      <c r="HAG28" s="613">
        <f t="shared" ref="HAG28" si="2743">HAE$28*$C$28</f>
        <v>1.051854684378102E+16</v>
      </c>
      <c r="HAI28" s="613">
        <f t="shared" ref="HAI28" si="2744">HAG$28*$C$28</f>
        <v>1.062373231221883E+16</v>
      </c>
      <c r="HAK28" s="613">
        <f t="shared" ref="HAK28" si="2745">HAI$28*$C$28</f>
        <v>1.0729969635341018E+16</v>
      </c>
      <c r="HAM28" s="613">
        <f t="shared" ref="HAM28" si="2746">HAK$28*$C$28</f>
        <v>1.0837269331694428E+16</v>
      </c>
      <c r="HAO28" s="613">
        <f t="shared" ref="HAO28" si="2747">HAM$28*$C$28</f>
        <v>1.0945642025011372E+16</v>
      </c>
      <c r="HAQ28" s="613">
        <f t="shared" ref="HAQ28" si="2748">HAO$28*$C$28</f>
        <v>1.1055098445261486E+16</v>
      </c>
      <c r="HAS28" s="613">
        <f t="shared" ref="HAS28" si="2749">HAQ$28*$C$28</f>
        <v>1.11656494297141E+16</v>
      </c>
      <c r="HAU28" s="613">
        <f t="shared" ref="HAU28" si="2750">HAS$28*$C$28</f>
        <v>1.1277305924011242E+16</v>
      </c>
      <c r="HAW28" s="613">
        <f t="shared" ref="HAW28" si="2751">HAU$28*$C$28</f>
        <v>1.1390078983251354E+16</v>
      </c>
      <c r="HAY28" s="613">
        <f t="shared" ref="HAY28" si="2752">HAW$28*$C$28</f>
        <v>1.1503979773083868E+16</v>
      </c>
      <c r="HBA28" s="613">
        <f t="shared" ref="HBA28" si="2753">HAY$28*$C$28</f>
        <v>1.1619019570814706E+16</v>
      </c>
      <c r="HBC28" s="613">
        <f t="shared" ref="HBC28" si="2754">HBA$28*$C$28</f>
        <v>1.1735209766522854E+16</v>
      </c>
      <c r="HBE28" s="613">
        <f t="shared" ref="HBE28" si="2755">HBC$28*$C$28</f>
        <v>1.1852561864188082E+16</v>
      </c>
      <c r="HBG28" s="613">
        <f t="shared" ref="HBG28" si="2756">HBE$28*$C$28</f>
        <v>1.1971087482829962E+16</v>
      </c>
      <c r="HBI28" s="613">
        <f t="shared" ref="HBI28" si="2757">HBG$28*$C$28</f>
        <v>1.2090798357658262E+16</v>
      </c>
      <c r="HBK28" s="613">
        <f t="shared" ref="HBK28" si="2758">HBI$28*$C$28</f>
        <v>1.2211706341234844E+16</v>
      </c>
      <c r="HBM28" s="613">
        <f t="shared" ref="HBM28" si="2759">HBK$28*$C$28</f>
        <v>1.2333823404647192E+16</v>
      </c>
      <c r="HBO28" s="613">
        <f t="shared" ref="HBO28" si="2760">HBM$28*$C$28</f>
        <v>1.2457161638693664E+16</v>
      </c>
      <c r="HBQ28" s="613">
        <f t="shared" ref="HBQ28" si="2761">HBO$28*$C$28</f>
        <v>1.25817332550806E+16</v>
      </c>
      <c r="HBS28" s="613">
        <f t="shared" ref="HBS28" si="2762">HBQ$28*$C$28</f>
        <v>1.2707550587631406E+16</v>
      </c>
      <c r="HBU28" s="613">
        <f t="shared" ref="HBU28" si="2763">HBS$28*$C$28</f>
        <v>1.283462609350772E+16</v>
      </c>
      <c r="HBW28" s="613">
        <f t="shared" ref="HBW28" si="2764">HBU$28*$C$28</f>
        <v>1.2962972354442798E+16</v>
      </c>
      <c r="HBY28" s="613">
        <f t="shared" ref="HBY28" si="2765">HBW$28*$C$28</f>
        <v>1.3092602077987226E+16</v>
      </c>
      <c r="HCA28" s="613">
        <f t="shared" ref="HCA28" si="2766">HBY$28*$C$28</f>
        <v>1.3223528098767098E+16</v>
      </c>
      <c r="HCC28" s="613">
        <f t="shared" ref="HCC28" si="2767">HCA$28*$C$28</f>
        <v>1.335576337975477E+16</v>
      </c>
      <c r="HCE28" s="613">
        <f t="shared" ref="HCE28" si="2768">HCC$28*$C$28</f>
        <v>1.3489321013552318E+16</v>
      </c>
      <c r="HCG28" s="613">
        <f t="shared" ref="HCG28" si="2769">HCE$28*$C$28</f>
        <v>1.3624214223687842E+16</v>
      </c>
      <c r="HCI28" s="613">
        <f t="shared" ref="HCI28" si="2770">HCG$28*$C$28</f>
        <v>1.376045636592472E+16</v>
      </c>
      <c r="HCK28" s="613">
        <f t="shared" ref="HCK28" si="2771">HCI$28*$C$28</f>
        <v>1.3898060929583968E+16</v>
      </c>
      <c r="HCM28" s="613">
        <f t="shared" ref="HCM28" si="2772">HCK$28*$C$28</f>
        <v>1.4037041538879808E+16</v>
      </c>
      <c r="HCO28" s="613">
        <f t="shared" ref="HCO28" si="2773">HCM$28*$C$28</f>
        <v>1.4177411954268606E+16</v>
      </c>
      <c r="HCQ28" s="613">
        <f t="shared" ref="HCQ28" si="2774">HCO$28*$C$28</f>
        <v>1.4319186073811292E+16</v>
      </c>
      <c r="HCS28" s="613">
        <f t="shared" ref="HCS28" si="2775">HCQ$28*$C$28</f>
        <v>1.4462377934549406E+16</v>
      </c>
      <c r="HCU28" s="613">
        <f t="shared" ref="HCU28" si="2776">HCS$28*$C$28</f>
        <v>1.46070017138949E+16</v>
      </c>
      <c r="HCW28" s="613">
        <f t="shared" ref="HCW28" si="2777">HCU$28*$C$28</f>
        <v>1.475307173103385E+16</v>
      </c>
      <c r="HCY28" s="613">
        <f t="shared" ref="HCY28" si="2778">HCW$28*$C$28</f>
        <v>1.4900602448344188E+16</v>
      </c>
      <c r="HDA28" s="613">
        <f t="shared" ref="HDA28" si="2779">HCY$28*$C$28</f>
        <v>1.504960847282763E+16</v>
      </c>
      <c r="HDC28" s="613">
        <f t="shared" ref="HDC28" si="2780">HDA$28*$C$28</f>
        <v>1.5200104557555906E+16</v>
      </c>
      <c r="HDE28" s="613">
        <f t="shared" ref="HDE28" si="2781">HDC$28*$C$28</f>
        <v>1.5352105603131466E+16</v>
      </c>
      <c r="HDG28" s="613">
        <f t="shared" ref="HDG28" si="2782">HDE$28*$C$28</f>
        <v>1.550562665916278E+16</v>
      </c>
      <c r="HDI28" s="613">
        <f t="shared" ref="HDI28" si="2783">HDG$28*$C$28</f>
        <v>1.5660682925754408E+16</v>
      </c>
      <c r="HDK28" s="613">
        <f t="shared" ref="HDK28" si="2784">HDI$28*$C$28</f>
        <v>1.5817289755011952E+16</v>
      </c>
      <c r="HDM28" s="613">
        <f t="shared" ref="HDM28" si="2785">HDK$28*$C$28</f>
        <v>1.5975462652562072E+16</v>
      </c>
      <c r="HDO28" s="613">
        <f t="shared" ref="HDO28" si="2786">HDM$28*$C$28</f>
        <v>1.6135217279087692E+16</v>
      </c>
      <c r="HDQ28" s="613">
        <f t="shared" ref="HDQ28" si="2787">HDO$28*$C$28</f>
        <v>1.629656945187857E+16</v>
      </c>
      <c r="HDS28" s="613">
        <f t="shared" ref="HDS28" si="2788">HDQ$28*$C$28</f>
        <v>1.6459535146397356E+16</v>
      </c>
      <c r="HDU28" s="613">
        <f t="shared" ref="HDU28" si="2789">HDS$28*$C$28</f>
        <v>1.662413049786133E+16</v>
      </c>
      <c r="HDW28" s="613">
        <f t="shared" ref="HDW28" si="2790">HDU$28*$C$28</f>
        <v>1.6790371802839944E+16</v>
      </c>
      <c r="HDY28" s="613">
        <f t="shared" ref="HDY28" si="2791">HDW$28*$C$28</f>
        <v>1.6958275520868344E+16</v>
      </c>
      <c r="HEA28" s="613">
        <f t="shared" ref="HEA28" si="2792">HDY$28*$C$28</f>
        <v>1.7127858276077028E+16</v>
      </c>
      <c r="HEC28" s="613">
        <f t="shared" ref="HEC28" si="2793">HEA$28*$C$28</f>
        <v>1.7299136858837798E+16</v>
      </c>
      <c r="HEE28" s="613">
        <f t="shared" ref="HEE28" si="2794">HEC$28*$C$28</f>
        <v>1.7472128227426176E+16</v>
      </c>
      <c r="HEG28" s="613">
        <f t="shared" ref="HEG28" si="2795">HEE$28*$C$28</f>
        <v>1.7646849509700438E+16</v>
      </c>
      <c r="HEI28" s="613">
        <f t="shared" ref="HEI28" si="2796">HEG$28*$C$28</f>
        <v>1.7823318004797442E+16</v>
      </c>
      <c r="HEK28" s="613">
        <f t="shared" ref="HEK28" si="2797">HEI$28*$C$28</f>
        <v>1.8001551184845416E+16</v>
      </c>
      <c r="HEM28" s="613">
        <f t="shared" ref="HEM28" si="2798">HEK$28*$C$28</f>
        <v>1.8181566696693872E+16</v>
      </c>
      <c r="HEO28" s="613">
        <f t="shared" ref="HEO28" si="2799">HEM$28*$C$28</f>
        <v>1.8363382363660812E+16</v>
      </c>
      <c r="HEQ28" s="613">
        <f t="shared" ref="HEQ28" si="2800">HEO$28*$C$28</f>
        <v>1.854701618729742E+16</v>
      </c>
      <c r="HES28" s="613">
        <f t="shared" ref="HES28" si="2801">HEQ$28*$C$28</f>
        <v>1.8732486349170396E+16</v>
      </c>
      <c r="HEU28" s="613">
        <f t="shared" ref="HEU28" si="2802">HES$28*$C$28</f>
        <v>1.89198112126621E+16</v>
      </c>
      <c r="HEW28" s="613">
        <f t="shared" ref="HEW28" si="2803">HEU$28*$C$28</f>
        <v>1.910900932478872E+16</v>
      </c>
      <c r="HEY28" s="613">
        <f t="shared" ref="HEY28" si="2804">HEW$28*$C$28</f>
        <v>1.9300099418036608E+16</v>
      </c>
      <c r="HFA28" s="613">
        <f t="shared" ref="HFA28" si="2805">HEY$28*$C$28</f>
        <v>1.9493100412216976E+16</v>
      </c>
      <c r="HFC28" s="613">
        <f t="shared" ref="HFC28" si="2806">HFA$28*$C$28</f>
        <v>1.9688031416339144E+16</v>
      </c>
      <c r="HFE28" s="613">
        <f t="shared" ref="HFE28" si="2807">HFC$28*$C$28</f>
        <v>1.9884911730502536E+16</v>
      </c>
      <c r="HFG28" s="613">
        <f t="shared" ref="HFG28" si="2808">HFE$28*$C$28</f>
        <v>2.008376084780756E+16</v>
      </c>
      <c r="HFI28" s="613">
        <f t="shared" ref="HFI28" si="2809">HFG$28*$C$28</f>
        <v>2.0284598456285636E+16</v>
      </c>
      <c r="HFK28" s="613">
        <f t="shared" ref="HFK28" si="2810">HFI$28*$C$28</f>
        <v>2.0487444440848492E+16</v>
      </c>
      <c r="HFM28" s="613">
        <f t="shared" ref="HFM28" si="2811">HFK$28*$C$28</f>
        <v>2.0692318885256976E+16</v>
      </c>
      <c r="HFO28" s="613">
        <f t="shared" ref="HFO28" si="2812">HFM$28*$C$28</f>
        <v>2.0899242074109544E+16</v>
      </c>
      <c r="HFQ28" s="613">
        <f t="shared" ref="HFQ28" si="2813">HFO$28*$C$28</f>
        <v>2.110823449485064E+16</v>
      </c>
      <c r="HFS28" s="613">
        <f t="shared" ref="HFS28" si="2814">HFQ$28*$C$28</f>
        <v>2.1319316839799148E+16</v>
      </c>
      <c r="HFU28" s="613">
        <f t="shared" ref="HFU28" si="2815">HFS$28*$C$28</f>
        <v>2.153251000819714E+16</v>
      </c>
      <c r="HFW28" s="613">
        <f t="shared" ref="HFW28" si="2816">HFU$28*$C$28</f>
        <v>2.1747835108279112E+16</v>
      </c>
      <c r="HFY28" s="613">
        <f t="shared" ref="HFY28" si="2817">HFW$28*$C$28</f>
        <v>2.1965313459361904E+16</v>
      </c>
      <c r="HGA28" s="613">
        <f t="shared" ref="HGA28" si="2818">HFY$28*$C$28</f>
        <v>2.2184966593955524E+16</v>
      </c>
      <c r="HGC28" s="613">
        <f t="shared" ref="HGC28" si="2819">HGA$28*$C$28</f>
        <v>2.240681625989508E+16</v>
      </c>
      <c r="HGE28" s="613">
        <f t="shared" ref="HGE28" si="2820">HGC$28*$C$28</f>
        <v>2.2630884422494032E+16</v>
      </c>
      <c r="HGG28" s="613">
        <f t="shared" ref="HGG28" si="2821">HGE$28*$C$28</f>
        <v>2.2857193266718972E+16</v>
      </c>
      <c r="HGI28" s="613">
        <f t="shared" ref="HGI28" si="2822">HGG$28*$C$28</f>
        <v>2.308576519938616E+16</v>
      </c>
      <c r="HGK28" s="613">
        <f t="shared" ref="HGK28" si="2823">HGI$28*$C$28</f>
        <v>2.331662285138002E+16</v>
      </c>
      <c r="HGM28" s="613">
        <f t="shared" ref="HGM28" si="2824">HGK$28*$C$28</f>
        <v>2.354978907989382E+16</v>
      </c>
      <c r="HGO28" s="613">
        <f t="shared" ref="HGO28" si="2825">HGM$28*$C$28</f>
        <v>2.378528697069276E+16</v>
      </c>
      <c r="HGQ28" s="613">
        <f t="shared" ref="HGQ28" si="2826">HGO$28*$C$28</f>
        <v>2.4023139840399688E+16</v>
      </c>
      <c r="HGS28" s="613">
        <f t="shared" ref="HGS28" si="2827">HGQ$28*$C$28</f>
        <v>2.4263371238803684E+16</v>
      </c>
      <c r="HGU28" s="613">
        <f t="shared" ref="HGU28" si="2828">HGS$28*$C$28</f>
        <v>2.450600495119172E+16</v>
      </c>
      <c r="HGW28" s="613">
        <f t="shared" ref="HGW28" si="2829">HGU$28*$C$28</f>
        <v>2.4751065000703636E+16</v>
      </c>
      <c r="HGY28" s="613">
        <f t="shared" ref="HGY28" si="2830">HGW$28*$C$28</f>
        <v>2.4998575650710672E+16</v>
      </c>
      <c r="HHA28" s="613">
        <f t="shared" ref="HHA28" si="2831">HGY$28*$C$28</f>
        <v>2.524856140721778E+16</v>
      </c>
      <c r="HHC28" s="613">
        <f t="shared" ref="HHC28" si="2832">HHA$28*$C$28</f>
        <v>2.550104702128996E+16</v>
      </c>
      <c r="HHE28" s="613">
        <f t="shared" ref="HHE28" si="2833">HHC$28*$C$28</f>
        <v>2.575605749150286E+16</v>
      </c>
      <c r="HHG28" s="613">
        <f t="shared" ref="HHG28" si="2834">HHE$28*$C$28</f>
        <v>2.6013618066417888E+16</v>
      </c>
      <c r="HHI28" s="613">
        <f t="shared" ref="HHI28" si="2835">HHG$28*$C$28</f>
        <v>2.6273754247082068E+16</v>
      </c>
      <c r="HHK28" s="613">
        <f t="shared" ref="HHK28" si="2836">HHI$28*$C$28</f>
        <v>2.6536491789552888E+16</v>
      </c>
      <c r="HHM28" s="613">
        <f t="shared" ref="HHM28" si="2837">HHK$28*$C$28</f>
        <v>2.6801856707448416E+16</v>
      </c>
      <c r="HHO28" s="613">
        <f t="shared" ref="HHO28" si="2838">HHM$28*$C$28</f>
        <v>2.70698752745229E+16</v>
      </c>
      <c r="HHQ28" s="613">
        <f t="shared" ref="HHQ28" si="2839">HHO$28*$C$28</f>
        <v>2.7340574027268128E+16</v>
      </c>
      <c r="HHS28" s="613">
        <f t="shared" ref="HHS28" si="2840">HHQ$28*$C$28</f>
        <v>2.7613979767540808E+16</v>
      </c>
      <c r="HHU28" s="613">
        <f t="shared" ref="HHU28" si="2841">HHS$28*$C$28</f>
        <v>2.7890119565216216E+16</v>
      </c>
      <c r="HHW28" s="613">
        <f t="shared" ref="HHW28" si="2842">HHU$28*$C$28</f>
        <v>2.816902076086838E+16</v>
      </c>
      <c r="HHY28" s="613">
        <f t="shared" ref="HHY28" si="2843">HHW$28*$C$28</f>
        <v>2.8450710968477064E+16</v>
      </c>
      <c r="HIA28" s="613">
        <f t="shared" ref="HIA28" si="2844">HHY$28*$C$28</f>
        <v>2.8735218078161836E+16</v>
      </c>
      <c r="HIC28" s="613">
        <f t="shared" ref="HIC28" si="2845">HIA$28*$C$28</f>
        <v>2.9022570258943456E+16</v>
      </c>
      <c r="HIE28" s="613">
        <f t="shared" ref="HIE28" si="2846">HIC$28*$C$28</f>
        <v>2.9312795961532892E+16</v>
      </c>
      <c r="HIG28" s="613">
        <f t="shared" ref="HIG28" si="2847">HIE$28*$C$28</f>
        <v>2.960592392114822E+16</v>
      </c>
      <c r="HII28" s="613">
        <f t="shared" ref="HII28" si="2848">HIG$28*$C$28</f>
        <v>2.9901983160359704E+16</v>
      </c>
      <c r="HIK28" s="613">
        <f t="shared" ref="HIK28" si="2849">HII$28*$C$28</f>
        <v>3.02010029919633E+16</v>
      </c>
      <c r="HIM28" s="613">
        <f t="shared" ref="HIM28" si="2850">HIK$28*$C$28</f>
        <v>3.0503013021882932E+16</v>
      </c>
      <c r="HIO28" s="613">
        <f t="shared" ref="HIO28" si="2851">HIM$28*$C$28</f>
        <v>3.080804315210176E+16</v>
      </c>
      <c r="HIQ28" s="613">
        <f t="shared" ref="HIQ28" si="2852">HIO$28*$C$28</f>
        <v>3.1116123583622776E+16</v>
      </c>
      <c r="HIS28" s="613">
        <f t="shared" ref="HIS28" si="2853">HIQ$28*$C$28</f>
        <v>3.1427284819459004E+16</v>
      </c>
      <c r="HIU28" s="613">
        <f t="shared" ref="HIU28" si="2854">HIS$28*$C$28</f>
        <v>3.1741557667653596E+16</v>
      </c>
      <c r="HIW28" s="613">
        <f t="shared" ref="HIW28" si="2855">HIU$28*$C$28</f>
        <v>3.2058973244330132E+16</v>
      </c>
      <c r="HIY28" s="613">
        <f t="shared" ref="HIY28" si="2856">HIW$28*$C$28</f>
        <v>3.2379562976773432E+16</v>
      </c>
      <c r="HJA28" s="613">
        <f t="shared" ref="HJA28" si="2857">HIY$28*$C$28</f>
        <v>3.2703358606541168E+16</v>
      </c>
      <c r="HJC28" s="613">
        <f t="shared" ref="HJC28" si="2858">HJA$28*$C$28</f>
        <v>3.303039219260658E+16</v>
      </c>
      <c r="HJE28" s="613">
        <f t="shared" ref="HJE28" si="2859">HJC$28*$C$28</f>
        <v>3.3360696114532648E+16</v>
      </c>
      <c r="HJG28" s="613">
        <f t="shared" ref="HJG28" si="2860">HJE$28*$C$28</f>
        <v>3.3694303075677976E+16</v>
      </c>
      <c r="HJI28" s="613">
        <f t="shared" ref="HJI28" si="2861">HJG$28*$C$28</f>
        <v>3.4031246106434756E+16</v>
      </c>
      <c r="HJK28" s="613">
        <f t="shared" ref="HJK28" si="2862">HJI$28*$C$28</f>
        <v>3.4371558567499104E+16</v>
      </c>
      <c r="HJM28" s="613">
        <f t="shared" ref="HJM28" si="2863">HJK$28*$C$28</f>
        <v>3.4715274153174096E+16</v>
      </c>
      <c r="HJO28" s="613">
        <f t="shared" ref="HJO28" si="2864">HJM$28*$C$28</f>
        <v>3.5062426894705836E+16</v>
      </c>
      <c r="HJQ28" s="613">
        <f t="shared" ref="HJQ28" si="2865">HJO$28*$C$28</f>
        <v>3.5413051163652896E+16</v>
      </c>
      <c r="HJS28" s="613">
        <f t="shared" ref="HJS28" si="2866">HJQ$28*$C$28</f>
        <v>3.5767181675289424E+16</v>
      </c>
      <c r="HJU28" s="613">
        <f t="shared" ref="HJU28" si="2867">HJS$28*$C$28</f>
        <v>3.612485349204232E+16</v>
      </c>
      <c r="HJW28" s="613">
        <f t="shared" ref="HJW28" si="2868">HJU$28*$C$28</f>
        <v>3.6486102026962744E+16</v>
      </c>
      <c r="HJY28" s="613">
        <f t="shared" ref="HJY28" si="2869">HJW$28*$C$28</f>
        <v>3.6850963047232368E+16</v>
      </c>
      <c r="HKA28" s="613">
        <f t="shared" ref="HKA28" si="2870">HJY$28*$C$28</f>
        <v>3.7219472677704696E+16</v>
      </c>
      <c r="HKC28" s="613">
        <f t="shared" ref="HKC28" si="2871">HKA$28*$C$28</f>
        <v>3.7591667404481744E+16</v>
      </c>
      <c r="HKE28" s="613">
        <f t="shared" ref="HKE28" si="2872">HKC$28*$C$28</f>
        <v>3.796758407852656E+16</v>
      </c>
      <c r="HKG28" s="613">
        <f t="shared" ref="HKG28" si="2873">HKE$28*$C$28</f>
        <v>3.8347259919311824E+16</v>
      </c>
      <c r="HKI28" s="613">
        <f t="shared" ref="HKI28" si="2874">HKG$28*$C$28</f>
        <v>3.8730732518504944E+16</v>
      </c>
      <c r="HKK28" s="613">
        <f t="shared" ref="HKK28" si="2875">HKI$28*$C$28</f>
        <v>3.9118039843689992E+16</v>
      </c>
      <c r="HKM28" s="613">
        <f t="shared" ref="HKM28" si="2876">HKK$28*$C$28</f>
        <v>3.9509220242126896E+16</v>
      </c>
      <c r="HKO28" s="613">
        <f t="shared" ref="HKO28" si="2877">HKM$28*$C$28</f>
        <v>3.9904312444548168E+16</v>
      </c>
      <c r="HKQ28" s="613">
        <f t="shared" ref="HKQ28" si="2878">HKO$28*$C$28</f>
        <v>4.0303355568993648E+16</v>
      </c>
      <c r="HKS28" s="613">
        <f t="shared" ref="HKS28" si="2879">HKQ$28*$C$28</f>
        <v>4.0706389124683584E+16</v>
      </c>
      <c r="HKU28" s="613">
        <f t="shared" ref="HKU28" si="2880">HKS$28*$C$28</f>
        <v>4.1113453015930424E+16</v>
      </c>
      <c r="HKW28" s="613">
        <f t="shared" ref="HKW28" si="2881">HKU$28*$C$28</f>
        <v>4.1524587546089728E+16</v>
      </c>
      <c r="HKY28" s="613">
        <f t="shared" ref="HKY28" si="2882">HKW$28*$C$28</f>
        <v>4.1939833421550624E+16</v>
      </c>
      <c r="HLA28" s="613">
        <f t="shared" ref="HLA28" si="2883">HKY$28*$C$28</f>
        <v>4.2359231755766128E+16</v>
      </c>
      <c r="HLC28" s="613">
        <f t="shared" ref="HLC28" si="2884">HLA$28*$C$28</f>
        <v>4.2782824073323792E+16</v>
      </c>
      <c r="HLE28" s="613">
        <f t="shared" ref="HLE28" si="2885">HLC$28*$C$28</f>
        <v>4.3210652314057032E+16</v>
      </c>
      <c r="HLG28" s="613">
        <f t="shared" ref="HLG28" si="2886">HLE$28*$C$28</f>
        <v>4.36427588371976E+16</v>
      </c>
      <c r="HLI28" s="613">
        <f t="shared" ref="HLI28" si="2887">HLG$28*$C$28</f>
        <v>4.4079186425569576E+16</v>
      </c>
      <c r="HLK28" s="613">
        <f t="shared" ref="HLK28" si="2888">HLI$28*$C$28</f>
        <v>4.4519978289825272E+16</v>
      </c>
      <c r="HLM28" s="613">
        <f t="shared" ref="HLM28" si="2889">HLK$28*$C$28</f>
        <v>4.4965178072723528E+16</v>
      </c>
      <c r="HLO28" s="613">
        <f t="shared" ref="HLO28" si="2890">HLM$28*$C$28</f>
        <v>4.541482985345076E+16</v>
      </c>
      <c r="HLQ28" s="613">
        <f t="shared" ref="HLQ28" si="2891">HLO$28*$C$28</f>
        <v>4.5868978151985272E+16</v>
      </c>
      <c r="HLS28" s="613">
        <f t="shared" ref="HLS28" si="2892">HLQ$28*$C$28</f>
        <v>4.6327667933505128E+16</v>
      </c>
      <c r="HLU28" s="613">
        <f t="shared" ref="HLU28" si="2893">HLS$28*$C$28</f>
        <v>4.6790944612840176E+16</v>
      </c>
      <c r="HLW28" s="613">
        <f t="shared" ref="HLW28" si="2894">HLU$28*$C$28</f>
        <v>4.7258854058968576E+16</v>
      </c>
      <c r="HLY28" s="613">
        <f t="shared" ref="HLY28" si="2895">HLW$28*$C$28</f>
        <v>4.7731442599558264E+16</v>
      </c>
      <c r="HMA28" s="613">
        <f t="shared" ref="HMA28" si="2896">HLY$28*$C$28</f>
        <v>4.8208757025553848E+16</v>
      </c>
      <c r="HMC28" s="613">
        <f t="shared" ref="HMC28" si="2897">HMA$28*$C$28</f>
        <v>4.8690844595809384E+16</v>
      </c>
      <c r="HME28" s="613">
        <f t="shared" ref="HME28" si="2898">HMC$28*$C$28</f>
        <v>4.917775304176748E+16</v>
      </c>
      <c r="HMG28" s="613">
        <f t="shared" ref="HMG28" si="2899">HME$28*$C$28</f>
        <v>4.9669530572185152E+16</v>
      </c>
      <c r="HMI28" s="613">
        <f t="shared" ref="HMI28" si="2900">HMG$28*$C$28</f>
        <v>5.0166225877907E+16</v>
      </c>
      <c r="HMK28" s="613">
        <f t="shared" ref="HMK28" si="2901">HMI$28*$C$28</f>
        <v>5.0667888136686072E+16</v>
      </c>
      <c r="HMM28" s="613">
        <f t="shared" ref="HMM28" si="2902">HMK$28*$C$28</f>
        <v>5.1174567018052936E+16</v>
      </c>
      <c r="HMO28" s="613">
        <f t="shared" ref="HMO28" si="2903">HMM$28*$C$28</f>
        <v>5.1686312688233464E+16</v>
      </c>
      <c r="HMQ28" s="613">
        <f t="shared" ref="HMQ28" si="2904">HMO$28*$C$28</f>
        <v>5.22031758151158E+16</v>
      </c>
      <c r="HMS28" s="613">
        <f t="shared" ref="HMS28" si="2905">HMQ$28*$C$28</f>
        <v>5.272520757326696E+16</v>
      </c>
      <c r="HMU28" s="613">
        <f t="shared" ref="HMU28" si="2906">HMS$28*$C$28</f>
        <v>5.3252459648999632E+16</v>
      </c>
      <c r="HMW28" s="613">
        <f t="shared" ref="HMW28" si="2907">HMU$28*$C$28</f>
        <v>5.3784984245489632E+16</v>
      </c>
      <c r="HMY28" s="613">
        <f t="shared" ref="HMY28" si="2908">HMW$28*$C$28</f>
        <v>5.4322834087944528E+16</v>
      </c>
      <c r="HNA28" s="613">
        <f t="shared" ref="HNA28" si="2909">HMY$28*$C$28</f>
        <v>5.4866062428823976E+16</v>
      </c>
      <c r="HNC28" s="613">
        <f t="shared" ref="HNC28" si="2910">HNA$28*$C$28</f>
        <v>5.5414723053112216E+16</v>
      </c>
      <c r="HNE28" s="613">
        <f t="shared" ref="HNE28" si="2911">HNC$28*$C$28</f>
        <v>5.5968870283643336E+16</v>
      </c>
      <c r="HNG28" s="613">
        <f t="shared" ref="HNG28" si="2912">HNE$28*$C$28</f>
        <v>5.6528558986479768E+16</v>
      </c>
      <c r="HNI28" s="613">
        <f t="shared" ref="HNI28" si="2913">HNG$28*$C$28</f>
        <v>5.7093844576344568E+16</v>
      </c>
      <c r="HNK28" s="613">
        <f t="shared" ref="HNK28" si="2914">HNI$28*$C$28</f>
        <v>5.7664783022108016E+16</v>
      </c>
      <c r="HNM28" s="613">
        <f t="shared" ref="HNM28" si="2915">HNK$28*$C$28</f>
        <v>5.8241430852329096E+16</v>
      </c>
      <c r="HNO28" s="613">
        <f t="shared" ref="HNO28" si="2916">HNM$28*$C$28</f>
        <v>5.8823845160852384E+16</v>
      </c>
      <c r="HNQ28" s="613">
        <f t="shared" ref="HNQ28" si="2917">HNO$28*$C$28</f>
        <v>5.9412083612460912E+16</v>
      </c>
      <c r="HNS28" s="613">
        <f t="shared" ref="HNS28" si="2918">HNQ$28*$C$28</f>
        <v>6.000620444858552E+16</v>
      </c>
      <c r="HNU28" s="613">
        <f t="shared" ref="HNU28" si="2919">HNS$28*$C$28</f>
        <v>6.0606266493071376E+16</v>
      </c>
      <c r="HNW28" s="613">
        <f t="shared" ref="HNW28" si="2920">HNU$28*$C$28</f>
        <v>6.1212329158002088E+16</v>
      </c>
      <c r="HNY28" s="613">
        <f t="shared" ref="HNY28" si="2921">HNW$28*$C$28</f>
        <v>6.1824452449582112E+16</v>
      </c>
      <c r="HOA28" s="613">
        <f t="shared" ref="HOA28" si="2922">HNY$28*$C$28</f>
        <v>6.2442696974077936E+16</v>
      </c>
      <c r="HOC28" s="613">
        <f t="shared" ref="HOC28" si="2923">HOA$28*$C$28</f>
        <v>6.3067123943818712E+16</v>
      </c>
      <c r="HOE28" s="613">
        <f t="shared" ref="HOE28" si="2924">HOC$28*$C$28</f>
        <v>6.3697795183256896E+16</v>
      </c>
      <c r="HOG28" s="613">
        <f t="shared" ref="HOG28" si="2925">HOE$28*$C$28</f>
        <v>6.4334773135089464E+16</v>
      </c>
      <c r="HOI28" s="613">
        <f t="shared" ref="HOI28" si="2926">HOG$28*$C$28</f>
        <v>6.497812086644036E+16</v>
      </c>
      <c r="HOK28" s="613">
        <f t="shared" ref="HOK28" si="2927">HOI$28*$C$28</f>
        <v>6.5627902075104768E+16</v>
      </c>
      <c r="HOM28" s="613">
        <f t="shared" ref="HOM28" si="2928">HOK$28*$C$28</f>
        <v>6.6284181095855816E+16</v>
      </c>
      <c r="HOO28" s="613">
        <f t="shared" ref="HOO28" si="2929">HOM$28*$C$28</f>
        <v>6.6947022906814376E+16</v>
      </c>
      <c r="HOQ28" s="613">
        <f t="shared" ref="HOQ28" si="2930">HOO$28*$C$28</f>
        <v>6.761649313588252E+16</v>
      </c>
      <c r="HOS28" s="613">
        <f t="shared" ref="HOS28" si="2931">HOQ$28*$C$28</f>
        <v>6.8292658067241344E+16</v>
      </c>
      <c r="HOU28" s="613">
        <f t="shared" ref="HOU28" si="2932">HOS$28*$C$28</f>
        <v>6.897558464791376E+16</v>
      </c>
      <c r="HOW28" s="613">
        <f t="shared" ref="HOW28" si="2933">HOU$28*$C$28</f>
        <v>6.9665340494392896E+16</v>
      </c>
      <c r="HOY28" s="613">
        <f t="shared" ref="HOY28" si="2934">HOW$28*$C$28</f>
        <v>7.0361993899336824E+16</v>
      </c>
      <c r="HPA28" s="613">
        <f t="shared" ref="HPA28" si="2935">HOY$28*$C$28</f>
        <v>7.1065613838330192E+16</v>
      </c>
      <c r="HPC28" s="613">
        <f t="shared" ref="HPC28" si="2936">HPA$28*$C$28</f>
        <v>7.1776269976713496E+16</v>
      </c>
      <c r="HPE28" s="613">
        <f t="shared" ref="HPE28" si="2937">HPC$28*$C$28</f>
        <v>7.2494032676480624E+16</v>
      </c>
      <c r="HPG28" s="613">
        <f t="shared" ref="HPG28" si="2938">HPE$28*$C$28</f>
        <v>7.3218973003245424E+16</v>
      </c>
      <c r="HPI28" s="613">
        <f t="shared" ref="HPI28" si="2939">HPG$28*$C$28</f>
        <v>7.3951162733277872E+16</v>
      </c>
      <c r="HPK28" s="613">
        <f t="shared" ref="HPK28" si="2940">HPI$28*$C$28</f>
        <v>7.4690674360610656E+16</v>
      </c>
      <c r="HPM28" s="613">
        <f t="shared" ref="HPM28" si="2941">HPK$28*$C$28</f>
        <v>7.5437581104216768E+16</v>
      </c>
      <c r="HPO28" s="613">
        <f t="shared" ref="HPO28" si="2942">HPM$28*$C$28</f>
        <v>7.6191956915258944E+16</v>
      </c>
      <c r="HPQ28" s="613">
        <f t="shared" ref="HPQ28" si="2943">HPO$28*$C$28</f>
        <v>7.6953876484411536E+16</v>
      </c>
      <c r="HPS28" s="613">
        <f t="shared" ref="HPS28" si="2944">HPQ$28*$C$28</f>
        <v>7.7723415249255648E+16</v>
      </c>
      <c r="HPU28" s="613">
        <f t="shared" ref="HPU28" si="2945">HPS$28*$C$28</f>
        <v>7.8500649401748208E+16</v>
      </c>
      <c r="HPW28" s="613">
        <f t="shared" ref="HPW28" si="2946">HPU$28*$C$28</f>
        <v>7.9285655895765696E+16</v>
      </c>
      <c r="HPY28" s="613">
        <f t="shared" ref="HPY28" si="2947">HPW$28*$C$28</f>
        <v>8.007851245472336E+16</v>
      </c>
      <c r="HQA28" s="613">
        <f t="shared" ref="HQA28" si="2948">HPY$28*$C$28</f>
        <v>8.0879297579270592E+16</v>
      </c>
      <c r="HQC28" s="613">
        <f t="shared" ref="HQC28" si="2949">HQA$28*$C$28</f>
        <v>8.1688090555063296E+16</v>
      </c>
      <c r="HQE28" s="613">
        <f t="shared" ref="HQE28" si="2950">HQC$28*$C$28</f>
        <v>8.2504971460613936E+16</v>
      </c>
      <c r="HQG28" s="613">
        <f t="shared" ref="HQG28" si="2951">HQE$28*$C$28</f>
        <v>8.333002117522008E+16</v>
      </c>
      <c r="HQI28" s="613">
        <f t="shared" ref="HQI28" si="2952">HQG$28*$C$28</f>
        <v>8.4163321386972288E+16</v>
      </c>
      <c r="HQK28" s="613">
        <f t="shared" ref="HQK28" si="2953">HQI$28*$C$28</f>
        <v>8.5004954600842016E+16</v>
      </c>
      <c r="HQM28" s="613">
        <f t="shared" ref="HQM28" si="2954">HQK$28*$C$28</f>
        <v>8.5855004146850432E+16</v>
      </c>
      <c r="HQO28" s="613">
        <f t="shared" ref="HQO28" si="2955">HQM$28*$C$28</f>
        <v>8.6713554188318944E+16</v>
      </c>
      <c r="HQQ28" s="613">
        <f t="shared" ref="HQQ28" si="2956">HQO$28*$C$28</f>
        <v>8.7580689730202128E+16</v>
      </c>
      <c r="HQS28" s="613">
        <f t="shared" ref="HQS28" si="2957">HQQ$28*$C$28</f>
        <v>8.8456496627504144E+16</v>
      </c>
      <c r="HQU28" s="613">
        <f t="shared" ref="HQU28" si="2958">HQS$28*$C$28</f>
        <v>8.9341061593779184E+16</v>
      </c>
      <c r="HQW28" s="613">
        <f t="shared" ref="HQW28" si="2959">HQU$28*$C$28</f>
        <v>9.0234472209716976E+16</v>
      </c>
      <c r="HQY28" s="613">
        <f t="shared" ref="HQY28" si="2960">HQW$28*$C$28</f>
        <v>9.1136816931814144E+16</v>
      </c>
      <c r="HRA28" s="613">
        <f t="shared" ref="HRA28" si="2961">HQY$28*$C$28</f>
        <v>9.2048185101132288E+16</v>
      </c>
      <c r="HRC28" s="613">
        <f t="shared" ref="HRC28" si="2962">HRA$28*$C$28</f>
        <v>9.2968666952143616E+16</v>
      </c>
      <c r="HRE28" s="613">
        <f t="shared" ref="HRE28" si="2963">HRC$28*$C$28</f>
        <v>9.3898353621665056E+16</v>
      </c>
      <c r="HRG28" s="613">
        <f t="shared" ref="HRG28" si="2964">HRE$28*$C$28</f>
        <v>9.4837337157881712E+16</v>
      </c>
      <c r="HRI28" s="613">
        <f t="shared" ref="HRI28" si="2965">HRG$28*$C$28</f>
        <v>9.5785710529460528E+16</v>
      </c>
      <c r="HRK28" s="613">
        <f t="shared" ref="HRK28" si="2966">HRI$28*$C$28</f>
        <v>9.6743567634755136E+16</v>
      </c>
      <c r="HRM28" s="613">
        <f t="shared" ref="HRM28" si="2967">HRK$28*$C$28</f>
        <v>9.7711003311102688E+16</v>
      </c>
      <c r="HRO28" s="613">
        <f t="shared" ref="HRO28" si="2968">HRM$28*$C$28</f>
        <v>9.8688113344213712E+16</v>
      </c>
      <c r="HRQ28" s="613">
        <f t="shared" ref="HRQ28" si="2969">HRO$28*$C$28</f>
        <v>9.9674994477655856E+16</v>
      </c>
      <c r="HRS28" s="613">
        <f t="shared" ref="HRS28" si="2970">HRQ$28*$C$28</f>
        <v>1.0067174442243242E+17</v>
      </c>
      <c r="HRU28" s="613">
        <f t="shared" ref="HRU28" si="2971">HRS$28*$C$28</f>
        <v>1.0167846186665674E+17</v>
      </c>
      <c r="HRW28" s="613">
        <f t="shared" ref="HRW28" si="2972">HRU$28*$C$28</f>
        <v>1.0269524648532331E+17</v>
      </c>
      <c r="HRY28" s="613">
        <f t="shared" ref="HRY28" si="2973">HRW$28*$C$28</f>
        <v>1.0372219895017654E+17</v>
      </c>
      <c r="HSA28" s="613">
        <f t="shared" ref="HSA28" si="2974">HRY$28*$C$28</f>
        <v>1.047594209396783E+17</v>
      </c>
      <c r="HSC28" s="613">
        <f t="shared" ref="HSC28" si="2975">HSA$28*$C$28</f>
        <v>1.0580701514907509E+17</v>
      </c>
      <c r="HSE28" s="613">
        <f t="shared" ref="HSE28" si="2976">HSC$28*$C$28</f>
        <v>1.0686508530056584E+17</v>
      </c>
      <c r="HSG28" s="613">
        <f t="shared" ref="HSG28" si="2977">HSE$28*$C$28</f>
        <v>1.079337361535715E+17</v>
      </c>
      <c r="HSI28" s="613">
        <f t="shared" ref="HSI28" si="2978">HSG$28*$C$28</f>
        <v>1.0901307351510722E+17</v>
      </c>
      <c r="HSK28" s="613">
        <f t="shared" ref="HSK28" si="2979">HSI$28*$C$28</f>
        <v>1.1010320425025829E+17</v>
      </c>
      <c r="HSM28" s="613">
        <f t="shared" ref="HSM28" si="2980">HSK$28*$C$28</f>
        <v>1.1120423629276086E+17</v>
      </c>
      <c r="HSO28" s="613">
        <f t="shared" ref="HSO28" si="2981">HSM$28*$C$28</f>
        <v>1.1231627865568848E+17</v>
      </c>
      <c r="HSQ28" s="613">
        <f t="shared" ref="HSQ28" si="2982">HSO$28*$C$28</f>
        <v>1.1343944144224536E+17</v>
      </c>
      <c r="HSS28" s="613">
        <f t="shared" ref="HSS28" si="2983">HSQ$28*$C$28</f>
        <v>1.1457383585666781E+17</v>
      </c>
      <c r="HSU28" s="613">
        <f t="shared" ref="HSU28" si="2984">HSS$28*$C$28</f>
        <v>1.1571957421523448E+17</v>
      </c>
      <c r="HSW28" s="613">
        <f t="shared" ref="HSW28" si="2985">HSU$28*$C$28</f>
        <v>1.1687676995738683E+17</v>
      </c>
      <c r="HSY28" s="613">
        <f t="shared" ref="HSY28" si="2986">HSW$28*$C$28</f>
        <v>1.180455376569607E+17</v>
      </c>
      <c r="HTA28" s="613">
        <f t="shared" ref="HTA28" si="2987">HSY$28*$C$28</f>
        <v>1.1922599303353032E+17</v>
      </c>
      <c r="HTC28" s="613">
        <f t="shared" ref="HTC28" si="2988">HTA$28*$C$28</f>
        <v>1.2041825296386563E+17</v>
      </c>
      <c r="HTE28" s="613">
        <f t="shared" ref="HTE28" si="2989">HTC$28*$C$28</f>
        <v>1.2162243549350429E+17</v>
      </c>
      <c r="HTG28" s="613">
        <f t="shared" ref="HTG28" si="2990">HTE$28*$C$28</f>
        <v>1.2283865984843933E+17</v>
      </c>
      <c r="HTI28" s="613">
        <f t="shared" ref="HTI28" si="2991">HTG$28*$C$28</f>
        <v>1.2406704644692373E+17</v>
      </c>
      <c r="HTK28" s="613">
        <f t="shared" ref="HTK28" si="2992">HTI$28*$C$28</f>
        <v>1.2530771691139296E+17</v>
      </c>
      <c r="HTM28" s="613">
        <f t="shared" ref="HTM28" si="2993">HTK$28*$C$28</f>
        <v>1.265607940805069E+17</v>
      </c>
      <c r="HTO28" s="613">
        <f t="shared" ref="HTO28" si="2994">HTM$28*$C$28</f>
        <v>1.2782640202131197E+17</v>
      </c>
      <c r="HTQ28" s="613">
        <f t="shared" ref="HTQ28" si="2995">HTO$28*$C$28</f>
        <v>1.2910466604152509E+17</v>
      </c>
      <c r="HTS28" s="613">
        <f t="shared" ref="HTS28" si="2996">HTQ$28*$C$28</f>
        <v>1.3039571270194034E+17</v>
      </c>
      <c r="HTU28" s="613">
        <f t="shared" ref="HTU28" si="2997">HTS$28*$C$28</f>
        <v>1.3169966982895974E+17</v>
      </c>
      <c r="HTW28" s="613">
        <f t="shared" ref="HTW28" si="2998">HTU$28*$C$28</f>
        <v>1.3301666652724934E+17</v>
      </c>
      <c r="HTY28" s="613">
        <f t="shared" ref="HTY28" si="2999">HTW$28*$C$28</f>
        <v>1.3434683319252184E+17</v>
      </c>
      <c r="HUA28" s="613">
        <f t="shared" ref="HUA28" si="3000">HTY$28*$C$28</f>
        <v>1.3569030152444706E+17</v>
      </c>
      <c r="HUC28" s="613">
        <f t="shared" ref="HUC28" si="3001">HUA$28*$C$28</f>
        <v>1.3704720453969152E+17</v>
      </c>
      <c r="HUE28" s="613">
        <f t="shared" ref="HUE28" si="3002">HUC$28*$C$28</f>
        <v>1.3841767658508843E+17</v>
      </c>
      <c r="HUG28" s="613">
        <f t="shared" ref="HUG28" si="3003">HUE$28*$C$28</f>
        <v>1.3980185335093931E+17</v>
      </c>
      <c r="HUI28" s="613">
        <f t="shared" ref="HUI28" si="3004">HUG$28*$C$28</f>
        <v>1.411998718844487E+17</v>
      </c>
      <c r="HUK28" s="613">
        <f t="shared" ref="HUK28" si="3005">HUI$28*$C$28</f>
        <v>1.426118706032932E+17</v>
      </c>
      <c r="HUM28" s="613">
        <f t="shared" ref="HUM28" si="3006">HUK$28*$C$28</f>
        <v>1.4403798930932613E+17</v>
      </c>
      <c r="HUO28" s="613">
        <f t="shared" ref="HUO28" si="3007">HUM$28*$C$28</f>
        <v>1.4547836920241939E+17</v>
      </c>
      <c r="HUQ28" s="613">
        <f t="shared" ref="HUQ28" si="3008">HUO$28*$C$28</f>
        <v>1.4693315289444358E+17</v>
      </c>
      <c r="HUS28" s="613">
        <f t="shared" ref="HUS28" si="3009">HUQ$28*$C$28</f>
        <v>1.4840248442338803E+17</v>
      </c>
      <c r="HUU28" s="613">
        <f t="shared" ref="HUU28" si="3010">HUS$28*$C$28</f>
        <v>1.4988650926762192E+17</v>
      </c>
      <c r="HUW28" s="613">
        <f t="shared" ref="HUW28" si="3011">HUU$28*$C$28</f>
        <v>1.5138537436029814E+17</v>
      </c>
      <c r="HUY28" s="613">
        <f t="shared" ref="HUY28" si="3012">HUW$28*$C$28</f>
        <v>1.5289922810390112E+17</v>
      </c>
      <c r="HVA28" s="613">
        <f t="shared" ref="HVA28" si="3013">HUY$28*$C$28</f>
        <v>1.5442822038494013E+17</v>
      </c>
      <c r="HVC28" s="613">
        <f t="shared" ref="HVC28" si="3014">HVA$28*$C$28</f>
        <v>1.5597250258878954E+17</v>
      </c>
      <c r="HVE28" s="613">
        <f t="shared" ref="HVE28" si="3015">HVC$28*$C$28</f>
        <v>1.5753222761467744E+17</v>
      </c>
      <c r="HVG28" s="613">
        <f t="shared" ref="HVG28" si="3016">HVE$28*$C$28</f>
        <v>1.5910754989082422E+17</v>
      </c>
      <c r="HVI28" s="613">
        <f t="shared" ref="HVI28" si="3017">HVG$28*$C$28</f>
        <v>1.6069862538973248E+17</v>
      </c>
      <c r="HVK28" s="613">
        <f t="shared" ref="HVK28" si="3018">HVI$28*$C$28</f>
        <v>1.6230561164362979E+17</v>
      </c>
      <c r="HVM28" s="613">
        <f t="shared" ref="HVM28" si="3019">HVK$28*$C$28</f>
        <v>1.6392866776006608E+17</v>
      </c>
      <c r="HVO28" s="613">
        <f t="shared" ref="HVO28" si="3020">HVM$28*$C$28</f>
        <v>1.6556795443766675E+17</v>
      </c>
      <c r="HVQ28" s="613">
        <f t="shared" ref="HVQ28" si="3021">HVO$28*$C$28</f>
        <v>1.6722363398204342E+17</v>
      </c>
      <c r="HVS28" s="613">
        <f t="shared" ref="HVS28" si="3022">HVQ$28*$C$28</f>
        <v>1.6889587032186387E+17</v>
      </c>
      <c r="HVU28" s="613">
        <f t="shared" ref="HVU28" si="3023">HVS$28*$C$28</f>
        <v>1.7058482902508253E+17</v>
      </c>
      <c r="HVW28" s="613">
        <f t="shared" ref="HVW28" si="3024">HVU$28*$C$28</f>
        <v>1.7229067731533334E+17</v>
      </c>
      <c r="HVY28" s="613">
        <f t="shared" ref="HVY28" si="3025">HVW$28*$C$28</f>
        <v>1.7401358408848669E+17</v>
      </c>
      <c r="HWA28" s="613">
        <f t="shared" ref="HWA28" si="3026">HVY$28*$C$28</f>
        <v>1.7575371992937155E+17</v>
      </c>
      <c r="HWC28" s="613">
        <f t="shared" ref="HWC28" si="3027">HWA$28*$C$28</f>
        <v>1.7751125712866528E+17</v>
      </c>
      <c r="HWE28" s="613">
        <f t="shared" ref="HWE28" si="3028">HWC$28*$C$28</f>
        <v>1.7928636969995194E+17</v>
      </c>
      <c r="HWG28" s="613">
        <f t="shared" ref="HWG28" si="3029">HWE$28*$C$28</f>
        <v>1.8107923339695146E+17</v>
      </c>
      <c r="HWI28" s="613">
        <f t="shared" ref="HWI28" si="3030">HWG$28*$C$28</f>
        <v>1.8289002573092096E+17</v>
      </c>
      <c r="HWK28" s="613">
        <f t="shared" ref="HWK28" si="3031">HWI$28*$C$28</f>
        <v>1.8471892598823018E+17</v>
      </c>
      <c r="HWM28" s="613">
        <f t="shared" ref="HWM28" si="3032">HWK$28*$C$28</f>
        <v>1.8656611524811248E+17</v>
      </c>
      <c r="HWO28" s="613">
        <f t="shared" ref="HWO28" si="3033">HWM$28*$C$28</f>
        <v>1.884317764005936E+17</v>
      </c>
      <c r="HWQ28" s="613">
        <f t="shared" ref="HWQ28" si="3034">HWO$28*$C$28</f>
        <v>1.9031609416459955E+17</v>
      </c>
      <c r="HWS28" s="613">
        <f t="shared" ref="HWS28" si="3035">HWQ$28*$C$28</f>
        <v>1.9221925510624554E+17</v>
      </c>
      <c r="HWU28" s="613">
        <f t="shared" ref="HWU28" si="3036">HWS$28*$C$28</f>
        <v>1.94141447657308E+17</v>
      </c>
      <c r="HWW28" s="613">
        <f t="shared" ref="HWW28" si="3037">HWU$28*$C$28</f>
        <v>1.9608286213388109E+17</v>
      </c>
      <c r="HWY28" s="613">
        <f t="shared" ref="HWY28" si="3038">HWW$28*$C$28</f>
        <v>1.980436907552199E+17</v>
      </c>
      <c r="HXA28" s="613">
        <f t="shared" ref="HXA28" si="3039">HWY$28*$C$28</f>
        <v>2.000241276627721E+17</v>
      </c>
      <c r="HXC28" s="613">
        <f t="shared" ref="HXC28" si="3040">HXA$28*$C$28</f>
        <v>2.0202436893939981E+17</v>
      </c>
      <c r="HXE28" s="613">
        <f t="shared" ref="HXE28" si="3041">HXC$28*$C$28</f>
        <v>2.0404461262879379E+17</v>
      </c>
      <c r="HXG28" s="613">
        <f t="shared" ref="HXG28" si="3042">HXE$28*$C$28</f>
        <v>2.0608505875508173E+17</v>
      </c>
      <c r="HXI28" s="613">
        <f t="shared" ref="HXI28" si="3043">HXG$28*$C$28</f>
        <v>2.0814590934263254E+17</v>
      </c>
      <c r="HXK28" s="613">
        <f t="shared" ref="HXK28" si="3044">HXI$28*$C$28</f>
        <v>2.1022736843605888E+17</v>
      </c>
      <c r="HXM28" s="613">
        <f t="shared" ref="HXM28" si="3045">HXK$28*$C$28</f>
        <v>2.1232964212041946E+17</v>
      </c>
      <c r="HXO28" s="613">
        <f t="shared" ref="HXO28" si="3046">HXM$28*$C$28</f>
        <v>2.1445293854162365E+17</v>
      </c>
      <c r="HXQ28" s="613">
        <f t="shared" ref="HXQ28" si="3047">HXO$28*$C$28</f>
        <v>2.1659746792703987E+17</v>
      </c>
      <c r="HXS28" s="613">
        <f t="shared" ref="HXS28" si="3048">HXQ$28*$C$28</f>
        <v>2.1876344260631027E+17</v>
      </c>
      <c r="HXU28" s="613">
        <f t="shared" ref="HXU28" si="3049">HXS$28*$C$28</f>
        <v>2.2095107703237338E+17</v>
      </c>
      <c r="HXW28" s="613">
        <f t="shared" ref="HXW28" si="3050">HXU$28*$C$28</f>
        <v>2.2316058780269712E+17</v>
      </c>
      <c r="HXY28" s="613">
        <f t="shared" ref="HXY28" si="3051">HXW$28*$C$28</f>
        <v>2.253921936807241E+17</v>
      </c>
      <c r="HYA28" s="613">
        <f t="shared" ref="HYA28" si="3052">HXY$28*$C$28</f>
        <v>2.2764611561753133E+17</v>
      </c>
      <c r="HYC28" s="613">
        <f t="shared" ref="HYC28" si="3053">HYA$28*$C$28</f>
        <v>2.2992257677370666E+17</v>
      </c>
      <c r="HYE28" s="613">
        <f t="shared" ref="HYE28" si="3054">HYC$28*$C$28</f>
        <v>2.3222180254144371E+17</v>
      </c>
      <c r="HYG28" s="613">
        <f t="shared" ref="HYG28" si="3055">HYE$28*$C$28</f>
        <v>2.3454402056685814E+17</v>
      </c>
      <c r="HYI28" s="613">
        <f t="shared" ref="HYI28" si="3056">HYG$28*$C$28</f>
        <v>2.3688946077252672E+17</v>
      </c>
      <c r="HYK28" s="613">
        <f t="shared" ref="HYK28" si="3057">HYI$28*$C$28</f>
        <v>2.39258355380252E+17</v>
      </c>
      <c r="HYM28" s="613">
        <f t="shared" ref="HYM28" si="3058">HYK$28*$C$28</f>
        <v>2.4165093893405453E+17</v>
      </c>
      <c r="HYO28" s="613">
        <f t="shared" ref="HYO28" si="3059">HYM$28*$C$28</f>
        <v>2.4406744832339507E+17</v>
      </c>
      <c r="HYQ28" s="613">
        <f t="shared" ref="HYQ28" si="3060">HYO$28*$C$28</f>
        <v>2.4650812280662902E+17</v>
      </c>
      <c r="HYS28" s="613">
        <f t="shared" ref="HYS28" si="3061">HYQ$28*$C$28</f>
        <v>2.4897320403469533E+17</v>
      </c>
      <c r="HYU28" s="613">
        <f t="shared" ref="HYU28" si="3062">HYS$28*$C$28</f>
        <v>2.5146293607504227E+17</v>
      </c>
      <c r="HYW28" s="613">
        <f t="shared" ref="HYW28" si="3063">HYU$28*$C$28</f>
        <v>2.539775654357927E+17</v>
      </c>
      <c r="HYY28" s="613">
        <f t="shared" ref="HYY28" si="3064">HYW$28*$C$28</f>
        <v>2.5651734109015062E+17</v>
      </c>
      <c r="HZA28" s="613">
        <f t="shared" ref="HZA28" si="3065">HYY$28*$C$28</f>
        <v>2.5908251450105213E+17</v>
      </c>
      <c r="HZC28" s="613">
        <f t="shared" ref="HZC28" si="3066">HZA$28*$C$28</f>
        <v>2.6167333964606266E+17</v>
      </c>
      <c r="HZE28" s="613">
        <f t="shared" ref="HZE28" si="3067">HZC$28*$C$28</f>
        <v>2.642900730425233E+17</v>
      </c>
      <c r="HZG28" s="613">
        <f t="shared" ref="HZG28" si="3068">HZE$28*$C$28</f>
        <v>2.6693297377294854E+17</v>
      </c>
      <c r="HZI28" s="613">
        <f t="shared" ref="HZI28" si="3069">HZG$28*$C$28</f>
        <v>2.6960230351067802E+17</v>
      </c>
      <c r="HZK28" s="613">
        <f t="shared" ref="HZK28" si="3070">HZI$28*$C$28</f>
        <v>2.722983265457848E+17</v>
      </c>
      <c r="HZM28" s="613">
        <f t="shared" ref="HZM28" si="3071">HZK$28*$C$28</f>
        <v>2.7502130981124266E+17</v>
      </c>
      <c r="HZO28" s="613">
        <f t="shared" ref="HZO28" si="3072">HZM$28*$C$28</f>
        <v>2.7777152290935507E+17</v>
      </c>
      <c r="HZQ28" s="613">
        <f t="shared" ref="HZQ28" si="3073">HZO$28*$C$28</f>
        <v>2.8054923813844864E+17</v>
      </c>
      <c r="HZS28" s="613">
        <f t="shared" ref="HZS28" si="3074">HZQ$28*$C$28</f>
        <v>2.8335473051983312E+17</v>
      </c>
      <c r="HZU28" s="613">
        <f t="shared" ref="HZU28" si="3075">HZS$28*$C$28</f>
        <v>2.8618827782503146E+17</v>
      </c>
      <c r="HZW28" s="613">
        <f t="shared" ref="HZW28" si="3076">HZU$28*$C$28</f>
        <v>2.8905016060328179E+17</v>
      </c>
      <c r="HZY28" s="613">
        <f t="shared" ref="HZY28" si="3077">HZW$28*$C$28</f>
        <v>2.9194066220931462E+17</v>
      </c>
      <c r="IAA28" s="613">
        <f t="shared" ref="IAA28" si="3078">HZY$28*$C$28</f>
        <v>2.9486006883140774E+17</v>
      </c>
      <c r="IAC28" s="613">
        <f t="shared" ref="IAC28" si="3079">IAA$28*$C$28</f>
        <v>2.9780866951972186E+17</v>
      </c>
      <c r="IAE28" s="613">
        <f t="shared" ref="IAE28" si="3080">IAC$28*$C$28</f>
        <v>3.007867562149191E+17</v>
      </c>
      <c r="IAG28" s="613">
        <f t="shared" ref="IAG28" si="3081">IAE$28*$C$28</f>
        <v>3.0379462377706829E+17</v>
      </c>
      <c r="IAI28" s="613">
        <f t="shared" ref="IAI28" si="3082">IAG$28*$C$28</f>
        <v>3.0683257001483898E+17</v>
      </c>
      <c r="IAK28" s="613">
        <f t="shared" ref="IAK28" si="3083">IAI$28*$C$28</f>
        <v>3.0990089571498739E+17</v>
      </c>
      <c r="IAM28" s="613">
        <f t="shared" ref="IAM28" si="3084">IAK$28*$C$28</f>
        <v>3.1299990467213728E+17</v>
      </c>
      <c r="IAO28" s="613">
        <f t="shared" ref="IAO28" si="3085">IAM$28*$C$28</f>
        <v>3.1612990371885862E+17</v>
      </c>
      <c r="IAQ28" s="613">
        <f t="shared" ref="IAQ28" si="3086">IAO$28*$C$28</f>
        <v>3.1929120275604723E+17</v>
      </c>
      <c r="IAS28" s="613">
        <f t="shared" ref="IAS28" si="3087">IAQ$28*$C$28</f>
        <v>3.2248411478360768E+17</v>
      </c>
      <c r="IAU28" s="613">
        <f t="shared" ref="IAU28" si="3088">IAS$28*$C$28</f>
        <v>3.2570895593144378E+17</v>
      </c>
      <c r="IAW28" s="613">
        <f t="shared" ref="IAW28" si="3089">IAU$28*$C$28</f>
        <v>3.2896604549075821E+17</v>
      </c>
      <c r="IAY28" s="613">
        <f t="shared" ref="IAY28" si="3090">IAW$28*$C$28</f>
        <v>3.3225570594566579E+17</v>
      </c>
      <c r="IBA28" s="613">
        <f t="shared" ref="IBA28" si="3091">IAY$28*$C$28</f>
        <v>3.3557826300512243E+17</v>
      </c>
      <c r="IBC28" s="613">
        <f t="shared" ref="IBC28" si="3092">IBA$28*$C$28</f>
        <v>3.3893404563517363E+17</v>
      </c>
      <c r="IBE28" s="613">
        <f t="shared" ref="IBE28" si="3093">IBC$28*$C$28</f>
        <v>3.4232338609152538E+17</v>
      </c>
      <c r="IBG28" s="613">
        <f t="shared" ref="IBG28" si="3094">IBE$28*$C$28</f>
        <v>3.4574661995244064E+17</v>
      </c>
      <c r="IBI28" s="613">
        <f t="shared" ref="IBI28" si="3095">IBG$28*$C$28</f>
        <v>3.4920408615196506E+17</v>
      </c>
      <c r="IBK28" s="613">
        <f t="shared" ref="IBK28" si="3096">IBI$28*$C$28</f>
        <v>3.5269612701348474E+17</v>
      </c>
      <c r="IBM28" s="613">
        <f t="shared" ref="IBM28" si="3097">IBK$28*$C$28</f>
        <v>3.5622308828361958E+17</v>
      </c>
      <c r="IBO28" s="613">
        <f t="shared" ref="IBO28" si="3098">IBM$28*$C$28</f>
        <v>3.5978531916645581E+17</v>
      </c>
      <c r="IBQ28" s="613">
        <f t="shared" ref="IBQ28" si="3099">IBO$28*$C$28</f>
        <v>3.6338317235812038E+17</v>
      </c>
      <c r="IBS28" s="613">
        <f t="shared" ref="IBS28" si="3100">IBQ$28*$C$28</f>
        <v>3.6701700408170157E+17</v>
      </c>
      <c r="IBU28" s="613">
        <f t="shared" ref="IBU28" si="3101">IBS$28*$C$28</f>
        <v>3.7068717412251859E+17</v>
      </c>
      <c r="IBW28" s="613">
        <f t="shared" ref="IBW28" si="3102">IBU$28*$C$28</f>
        <v>3.7439404586374381E+17</v>
      </c>
      <c r="IBY28" s="613">
        <f t="shared" ref="IBY28" si="3103">IBW$28*$C$28</f>
        <v>3.7813798632238125E+17</v>
      </c>
      <c r="ICA28" s="613">
        <f t="shared" ref="ICA28" si="3104">IBY$28*$C$28</f>
        <v>3.8191936618560506E+17</v>
      </c>
      <c r="ICC28" s="613">
        <f t="shared" ref="ICC28" si="3105">ICA$28*$C$28</f>
        <v>3.8573855984746112E+17</v>
      </c>
      <c r="ICE28" s="613">
        <f t="shared" ref="ICE28" si="3106">ICC$28*$C$28</f>
        <v>3.8959594544593574E+17</v>
      </c>
      <c r="ICG28" s="613">
        <f t="shared" ref="ICG28" si="3107">ICE$28*$C$28</f>
        <v>3.9349190490039514E+17</v>
      </c>
      <c r="ICI28" s="613">
        <f t="shared" ref="ICI28" si="3108">ICG$28*$C$28</f>
        <v>3.974268239493991E+17</v>
      </c>
      <c r="ICK28" s="613">
        <f t="shared" ref="ICK28" si="3109">ICI$28*$C$28</f>
        <v>4.0140109218889312E+17</v>
      </c>
      <c r="ICM28" s="613">
        <f t="shared" ref="ICM28" si="3110">ICK$28*$C$28</f>
        <v>4.0541510311078208E+17</v>
      </c>
      <c r="ICO28" s="613">
        <f t="shared" ref="ICO28" si="3111">ICM$28*$C$28</f>
        <v>4.0946925414188992E+17</v>
      </c>
      <c r="ICQ28" s="613">
        <f t="shared" ref="ICQ28" si="3112">ICO$28*$C$28</f>
        <v>4.135639466833088E+17</v>
      </c>
      <c r="ICS28" s="613">
        <f t="shared" ref="ICS28" si="3113">ICQ$28*$C$28</f>
        <v>4.1769958615014189E+17</v>
      </c>
      <c r="ICU28" s="613">
        <f t="shared" ref="ICU28" si="3114">ICS$28*$C$28</f>
        <v>4.2187658201164333E+17</v>
      </c>
      <c r="ICW28" s="613">
        <f t="shared" ref="ICW28" si="3115">ICU$28*$C$28</f>
        <v>4.2609534783175974E+17</v>
      </c>
      <c r="ICY28" s="613">
        <f t="shared" ref="ICY28" si="3116">ICW$28*$C$28</f>
        <v>4.3035630131007738E+17</v>
      </c>
      <c r="IDA28" s="613">
        <f t="shared" ref="IDA28" si="3117">ICY$28*$C$28</f>
        <v>4.3465986432317818E+17</v>
      </c>
      <c r="IDC28" s="613">
        <f t="shared" ref="IDC28" si="3118">IDA$28*$C$28</f>
        <v>4.3900646296640998E+17</v>
      </c>
      <c r="IDE28" s="613">
        <f t="shared" ref="IDE28" si="3119">IDC$28*$C$28</f>
        <v>4.4339652759607411E+17</v>
      </c>
      <c r="IDG28" s="613">
        <f t="shared" ref="IDG28" si="3120">IDE$28*$C$28</f>
        <v>4.4783049287203488E+17</v>
      </c>
      <c r="IDI28" s="613">
        <f t="shared" ref="IDI28" si="3121">IDG$28*$C$28</f>
        <v>4.5230879780075526E+17</v>
      </c>
      <c r="IDK28" s="613">
        <f t="shared" ref="IDK28" si="3122">IDI$28*$C$28</f>
        <v>4.5683188577876282E+17</v>
      </c>
      <c r="IDM28" s="613">
        <f t="shared" ref="IDM28" si="3123">IDK$28*$C$28</f>
        <v>4.6140020463655046E+17</v>
      </c>
      <c r="IDO28" s="613">
        <f t="shared" ref="IDO28" si="3124">IDM$28*$C$28</f>
        <v>4.6601420668291597E+17</v>
      </c>
      <c r="IDQ28" s="613">
        <f t="shared" ref="IDQ28" si="3125">IDO$28*$C$28</f>
        <v>4.7067434874974515E+17</v>
      </c>
      <c r="IDS28" s="613">
        <f t="shared" ref="IDS28" si="3126">IDQ$28*$C$28</f>
        <v>4.7538109223724262E+17</v>
      </c>
      <c r="IDU28" s="613">
        <f t="shared" ref="IDU28" si="3127">IDS$28*$C$28</f>
        <v>4.8013490315961504E+17</v>
      </c>
      <c r="IDW28" s="613">
        <f t="shared" ref="IDW28" si="3128">IDU$28*$C$28</f>
        <v>4.849362521912112E+17</v>
      </c>
      <c r="IDY28" s="613">
        <f t="shared" ref="IDY28" si="3129">IDW$28*$C$28</f>
        <v>4.8978561471312333E+17</v>
      </c>
      <c r="IEA28" s="613">
        <f t="shared" ref="IEA28" si="3130">IDY$28*$C$28</f>
        <v>4.9468347086025459E+17</v>
      </c>
      <c r="IEC28" s="613">
        <f t="shared" ref="IEC28" si="3131">IEA$28*$C$28</f>
        <v>4.9963030556885715E+17</v>
      </c>
      <c r="IEE28" s="613">
        <f t="shared" ref="IEE28" si="3132">IEC$28*$C$28</f>
        <v>5.0462660862454573E+17</v>
      </c>
      <c r="IEG28" s="613">
        <f t="shared" ref="IEG28" si="3133">IEE$28*$C$28</f>
        <v>5.0967287471079117E+17</v>
      </c>
      <c r="IEI28" s="613">
        <f t="shared" ref="IEI28" si="3134">IEG$28*$C$28</f>
        <v>5.1476960345789907E+17</v>
      </c>
      <c r="IEK28" s="613">
        <f t="shared" ref="IEK28" si="3135">IEI$28*$C$28</f>
        <v>5.1991729949247808E+17</v>
      </c>
      <c r="IEM28" s="613">
        <f t="shared" ref="IEM28" si="3136">IEK$28*$C$28</f>
        <v>5.2511647248740288E+17</v>
      </c>
      <c r="IEO28" s="613">
        <f t="shared" ref="IEO28" si="3137">IEM$28*$C$28</f>
        <v>5.3036763721227693E+17</v>
      </c>
      <c r="IEQ28" s="613">
        <f t="shared" ref="IEQ28" si="3138">IEO$28*$C$28</f>
        <v>5.3567131358439968E+17</v>
      </c>
      <c r="IES28" s="613">
        <f t="shared" ref="IES28" si="3139">IEQ$28*$C$28</f>
        <v>5.4102802672024371E+17</v>
      </c>
      <c r="IEU28" s="613">
        <f t="shared" ref="IEU28" si="3140">IES$28*$C$28</f>
        <v>5.4643830698744614E+17</v>
      </c>
      <c r="IEW28" s="613">
        <f t="shared" ref="IEW28" si="3141">IEU$28*$C$28</f>
        <v>5.5190269005732064E+17</v>
      </c>
      <c r="IEY28" s="613">
        <f t="shared" ref="IEY28" si="3142">IEW$28*$C$28</f>
        <v>5.5742171695789382E+17</v>
      </c>
      <c r="IFA28" s="613">
        <f t="shared" ref="IFA28" si="3143">IEY$28*$C$28</f>
        <v>5.6299593412747277E+17</v>
      </c>
      <c r="IFC28" s="613">
        <f t="shared" ref="IFC28" si="3144">IFA$28*$C$28</f>
        <v>5.6862589346874752E+17</v>
      </c>
      <c r="IFE28" s="613">
        <f t="shared" ref="IFE28" si="3145">IFC$28*$C$28</f>
        <v>5.7431215240343501E+17</v>
      </c>
      <c r="IFG28" s="613">
        <f t="shared" ref="IFG28" si="3146">IFE$28*$C$28</f>
        <v>5.8005527392746931E+17</v>
      </c>
      <c r="IFI28" s="613">
        <f t="shared" ref="IFI28" si="3147">IFG$28*$C$28</f>
        <v>5.8585582666674406E+17</v>
      </c>
      <c r="IFK28" s="613">
        <f t="shared" ref="IFK28" si="3148">IFI$28*$C$28</f>
        <v>5.9171438493341146E+17</v>
      </c>
      <c r="IFM28" s="613">
        <f t="shared" ref="IFM28" si="3149">IFK$28*$C$28</f>
        <v>5.976315287827456E+17</v>
      </c>
      <c r="IFO28" s="613">
        <f t="shared" ref="IFO28" si="3150">IFM$28*$C$28</f>
        <v>6.0360784407057306E+17</v>
      </c>
      <c r="IFQ28" s="613">
        <f t="shared" ref="IFQ28" si="3151">IFO$28*$C$28</f>
        <v>6.0964392251127885E+17</v>
      </c>
      <c r="IFS28" s="613">
        <f t="shared" ref="IFS28" si="3152">IFQ$28*$C$28</f>
        <v>6.1574036173639168E+17</v>
      </c>
      <c r="IFU28" s="613">
        <f t="shared" ref="IFU28" si="3153">IFS$28*$C$28</f>
        <v>6.2189776535375565E+17</v>
      </c>
      <c r="IFW28" s="613">
        <f t="shared" ref="IFW28" si="3154">IFU$28*$C$28</f>
        <v>6.2811674300729318E+17</v>
      </c>
      <c r="IFY28" s="613">
        <f t="shared" ref="IFY28" si="3155">IFW$28*$C$28</f>
        <v>6.3439791043736614E+17</v>
      </c>
      <c r="IGA28" s="613">
        <f t="shared" ref="IGA28" si="3156">IFY$28*$C$28</f>
        <v>6.4074188954173978E+17</v>
      </c>
      <c r="IGC28" s="613">
        <f t="shared" ref="IGC28" si="3157">IGA$28*$C$28</f>
        <v>6.4714930843715712E+17</v>
      </c>
      <c r="IGE28" s="613">
        <f t="shared" ref="IGE28" si="3158">IGC$28*$C$28</f>
        <v>6.536208015215287E+17</v>
      </c>
      <c r="IGG28" s="613">
        <f t="shared" ref="IGG28" si="3159">IGE$28*$C$28</f>
        <v>6.6015700953674394E+17</v>
      </c>
      <c r="IGI28" s="613">
        <f t="shared" ref="IGI28" si="3160">IGG$28*$C$28</f>
        <v>6.6675857963211136E+17</v>
      </c>
      <c r="IGK28" s="613">
        <f t="shared" ref="IGK28" si="3161">IGI$28*$C$28</f>
        <v>6.7342616542843251E+17</v>
      </c>
      <c r="IGM28" s="613">
        <f t="shared" ref="IGM28" si="3162">IGK$28*$C$28</f>
        <v>6.801604270827168E+17</v>
      </c>
      <c r="IGO28" s="613">
        <f t="shared" ref="IGO28" si="3163">IGM$28*$C$28</f>
        <v>6.8696203135354394E+17</v>
      </c>
      <c r="IGQ28" s="613">
        <f t="shared" ref="IGQ28" si="3164">IGO$28*$C$28</f>
        <v>6.9383165166707942E+17</v>
      </c>
      <c r="IGS28" s="613">
        <f t="shared" ref="IGS28" si="3165">IGQ$28*$C$28</f>
        <v>7.0076996818375027E+17</v>
      </c>
      <c r="IGU28" s="613">
        <f t="shared" ref="IGU28" si="3166">IGS$28*$C$28</f>
        <v>7.0777766786558784E+17</v>
      </c>
      <c r="IGW28" s="613">
        <f t="shared" ref="IGW28" si="3167">IGU$28*$C$28</f>
        <v>7.1485544454424371E+17</v>
      </c>
      <c r="IGY28" s="613">
        <f t="shared" ref="IGY28" si="3168">IGW$28*$C$28</f>
        <v>7.2200399898968614E+17</v>
      </c>
      <c r="IHA28" s="613">
        <f t="shared" ref="IHA28" si="3169">IGY$28*$C$28</f>
        <v>7.2922403897958298E+17</v>
      </c>
      <c r="IHC28" s="613">
        <f t="shared" ref="IHC28" si="3170">IHA$28*$C$28</f>
        <v>7.3651627936937882E+17</v>
      </c>
      <c r="IHE28" s="613">
        <f t="shared" ref="IHE28" si="3171">IHC$28*$C$28</f>
        <v>7.4388144216307264E+17</v>
      </c>
      <c r="IHG28" s="613">
        <f t="shared" ref="IHG28" si="3172">IHE$28*$C$28</f>
        <v>7.5132025658470336E+17</v>
      </c>
      <c r="IHI28" s="613">
        <f t="shared" ref="IHI28" si="3173">IHG$28*$C$28</f>
        <v>7.588334591505504E+17</v>
      </c>
      <c r="IHK28" s="613">
        <f t="shared" ref="IHK28" si="3174">IHI$28*$C$28</f>
        <v>7.6642179374205594E+17</v>
      </c>
      <c r="IHM28" s="613">
        <f t="shared" ref="IHM28" si="3175">IHK$28*$C$28</f>
        <v>7.7408601167947648E+17</v>
      </c>
      <c r="IHO28" s="613">
        <f t="shared" ref="IHO28" si="3176">IHM$28*$C$28</f>
        <v>7.8182687179627123E+17</v>
      </c>
      <c r="IHQ28" s="613">
        <f t="shared" ref="IHQ28" si="3177">IHO$28*$C$28</f>
        <v>7.8964514051423398E+17</v>
      </c>
      <c r="IHS28" s="613">
        <f t="shared" ref="IHS28" si="3178">IHQ$28*$C$28</f>
        <v>7.9754159191937638E+17</v>
      </c>
      <c r="IHU28" s="613">
        <f t="shared" ref="IHU28" si="3179">IHS$28*$C$28</f>
        <v>8.0551700783857011E+17</v>
      </c>
      <c r="IHW28" s="613">
        <f t="shared" ref="IHW28" si="3180">IHU$28*$C$28</f>
        <v>8.1357217791695578E+17</v>
      </c>
      <c r="IHY28" s="613">
        <f t="shared" ref="IHY28" si="3181">IHW$28*$C$28</f>
        <v>8.2170789969612531E+17</v>
      </c>
      <c r="IIA28" s="613">
        <f t="shared" ref="IIA28" si="3182">IHY$28*$C$28</f>
        <v>8.2992497869308659E+17</v>
      </c>
      <c r="IIC28" s="613">
        <f t="shared" ref="IIC28" si="3183">IIA$28*$C$28</f>
        <v>8.3822422848001741E+17</v>
      </c>
      <c r="IIE28" s="613">
        <f t="shared" ref="IIE28" si="3184">IIC$28*$C$28</f>
        <v>8.4660647076481754E+17</v>
      </c>
      <c r="IIG28" s="613">
        <f t="shared" ref="IIG28" si="3185">IIE$28*$C$28</f>
        <v>8.5507253547246566E+17</v>
      </c>
      <c r="III28" s="613">
        <f t="shared" ref="III28" si="3186">IIG$28*$C$28</f>
        <v>8.6362326082719027E+17</v>
      </c>
      <c r="IIK28" s="613">
        <f t="shared" ref="IIK28" si="3187">III$28*$C$28</f>
        <v>8.7225949343546214E+17</v>
      </c>
      <c r="IIM28" s="613">
        <f t="shared" ref="IIM28" si="3188">IIK$28*$C$28</f>
        <v>8.8098208836981683E+17</v>
      </c>
      <c r="IIO28" s="613">
        <f t="shared" ref="IIO28" si="3189">IIM$28*$C$28</f>
        <v>8.8979190925351501E+17</v>
      </c>
      <c r="IIQ28" s="613">
        <f t="shared" ref="IIQ28" si="3190">IIO$28*$C$28</f>
        <v>8.9868982834605018E+17</v>
      </c>
      <c r="IIS28" s="613">
        <f t="shared" ref="IIS28" si="3191">IIQ$28*$C$28</f>
        <v>9.0767672662951066E+17</v>
      </c>
      <c r="IIU28" s="613">
        <f t="shared" ref="IIU28" si="3192">IIS$28*$C$28</f>
        <v>9.1675349389580582E+17</v>
      </c>
      <c r="IIW28" s="613">
        <f t="shared" ref="IIW28" si="3193">IIU$28*$C$28</f>
        <v>9.259210288347639E+17</v>
      </c>
      <c r="IIY28" s="613">
        <f t="shared" ref="IIY28" si="3194">IIW$28*$C$28</f>
        <v>9.3518023912311155E+17</v>
      </c>
      <c r="IJA28" s="613">
        <f t="shared" ref="IJA28" si="3195">IIY$28*$C$28</f>
        <v>9.4453204151434266E+17</v>
      </c>
      <c r="IJC28" s="613">
        <f t="shared" ref="IJC28" si="3196">IJA$28*$C$28</f>
        <v>9.5397736192948608E+17</v>
      </c>
      <c r="IJE28" s="613">
        <f t="shared" ref="IJE28" si="3197">IJC$28*$C$28</f>
        <v>9.6351713554878093E+17</v>
      </c>
      <c r="IJG28" s="613">
        <f t="shared" ref="IJG28" si="3198">IJE$28*$C$28</f>
        <v>9.731523069042688E+17</v>
      </c>
      <c r="IJI28" s="613">
        <f t="shared" ref="IJI28" si="3199">IJG$28*$C$28</f>
        <v>9.8288382997331149E+17</v>
      </c>
      <c r="IJK28" s="613">
        <f t="shared" ref="IJK28" si="3200">IJI$28*$C$28</f>
        <v>9.9271266827304461E+17</v>
      </c>
      <c r="IJM28" s="613">
        <f t="shared" ref="IJM28" si="3201">IJK$28*$C$28</f>
        <v>1.0026397949557751E+18</v>
      </c>
      <c r="IJO28" s="613">
        <f t="shared" ref="IJO28" si="3202">IJM$28*$C$28</f>
        <v>1.0126661929053329E+18</v>
      </c>
      <c r="IJQ28" s="613">
        <f t="shared" ref="IJQ28" si="3203">IJO$28*$C$28</f>
        <v>1.0227928548343862E+18</v>
      </c>
      <c r="IJS28" s="613">
        <f t="shared" ref="IJS28" si="3204">IJQ$28*$C$28</f>
        <v>1.03302078338273E+18</v>
      </c>
      <c r="IJU28" s="613">
        <f t="shared" ref="IJU28" si="3205">IJS$28*$C$28</f>
        <v>1.0433509912165573E+18</v>
      </c>
      <c r="IJW28" s="613">
        <f t="shared" ref="IJW28" si="3206">IJU$28*$C$28</f>
        <v>1.0537845011287229E+18</v>
      </c>
      <c r="IJY28" s="613">
        <f t="shared" ref="IJY28" si="3207">IJW$28*$C$28</f>
        <v>1.0643223461400102E+18</v>
      </c>
      <c r="IKA28" s="613">
        <f t="shared" ref="IKA28" si="3208">IJY$28*$C$28</f>
        <v>1.0749655696014103E+18</v>
      </c>
      <c r="IKC28" s="613">
        <f t="shared" ref="IKC28" si="3209">IKA$28*$C$28</f>
        <v>1.0857152252974244E+18</v>
      </c>
      <c r="IKE28" s="613">
        <f t="shared" ref="IKE28" si="3210">IKC$28*$C$28</f>
        <v>1.0965723775503986E+18</v>
      </c>
      <c r="IKG28" s="613">
        <f t="shared" ref="IKG28" si="3211">IKE$28*$C$28</f>
        <v>1.1075381013259026E+18</v>
      </c>
      <c r="IKI28" s="613">
        <f t="shared" ref="IKI28" si="3212">IKG$28*$C$28</f>
        <v>1.1186134823391616E+18</v>
      </c>
      <c r="IKK28" s="613">
        <f t="shared" ref="IKK28" si="3213">IKI$28*$C$28</f>
        <v>1.1297996171625532E+18</v>
      </c>
      <c r="IKM28" s="613">
        <f t="shared" ref="IKM28" si="3214">IKK$28*$C$28</f>
        <v>1.1410976133341788E+18</v>
      </c>
      <c r="IKO28" s="613">
        <f t="shared" ref="IKO28" si="3215">IKM$28*$C$28</f>
        <v>1.1525085894675206E+18</v>
      </c>
      <c r="IKQ28" s="613">
        <f t="shared" ref="IKQ28" si="3216">IKO$28*$C$28</f>
        <v>1.164033675362196E+18</v>
      </c>
      <c r="IKS28" s="613">
        <f t="shared" ref="IKS28" si="3217">IKQ$28*$C$28</f>
        <v>1.175674012115818E+18</v>
      </c>
      <c r="IKU28" s="613">
        <f t="shared" ref="IKU28" si="3218">IKS$28*$C$28</f>
        <v>1.1874307522369761E+18</v>
      </c>
      <c r="IKW28" s="613">
        <f t="shared" ref="IKW28" si="3219">IKU$28*$C$28</f>
        <v>1.1993050597593459E+18</v>
      </c>
      <c r="IKY28" s="613">
        <f t="shared" ref="IKY28" si="3220">IKW$28*$C$28</f>
        <v>1.2112981103569393E+18</v>
      </c>
      <c r="ILA28" s="613">
        <f t="shared" ref="ILA28" si="3221">IKY$28*$C$28</f>
        <v>1.2234110914605087E+18</v>
      </c>
      <c r="ILC28" s="613">
        <f t="shared" ref="ILC28" si="3222">ILA$28*$C$28</f>
        <v>1.2356452023751137E+18</v>
      </c>
      <c r="ILE28" s="613">
        <f t="shared" ref="ILE28" si="3223">ILC$28*$C$28</f>
        <v>1.2480016543988649E+18</v>
      </c>
      <c r="ILG28" s="613">
        <f t="shared" ref="ILG28" si="3224">ILE$28*$C$28</f>
        <v>1.2604816709428536E+18</v>
      </c>
      <c r="ILI28" s="613">
        <f t="shared" ref="ILI28" si="3225">ILG$28*$C$28</f>
        <v>1.2730864876522821E+18</v>
      </c>
      <c r="ILK28" s="613">
        <f t="shared" ref="ILK28" si="3226">ILI$28*$C$28</f>
        <v>1.2858173525288049E+18</v>
      </c>
      <c r="ILM28" s="613">
        <f t="shared" ref="ILM28" si="3227">ILK$28*$C$28</f>
        <v>1.2986755260540928E+18</v>
      </c>
      <c r="ILO28" s="613">
        <f t="shared" ref="ILO28" si="3228">ILM$28*$C$28</f>
        <v>1.3116622813146337E+18</v>
      </c>
      <c r="ILQ28" s="613">
        <f t="shared" ref="ILQ28" si="3229">ILO$28*$C$28</f>
        <v>1.3247789041277801E+18</v>
      </c>
      <c r="ILS28" s="613">
        <f t="shared" ref="ILS28" si="3230">ILQ$28*$C$28</f>
        <v>1.3380266931690578E+18</v>
      </c>
      <c r="ILU28" s="613">
        <f t="shared" ref="ILU28" si="3231">ILS$28*$C$28</f>
        <v>1.3514069601007483E+18</v>
      </c>
      <c r="ILW28" s="613">
        <f t="shared" ref="ILW28" si="3232">ILU$28*$C$28</f>
        <v>1.3649210297017559E+18</v>
      </c>
      <c r="ILY28" s="613">
        <f t="shared" ref="ILY28" si="3233">ILW$28*$C$28</f>
        <v>1.3785702399987735E+18</v>
      </c>
      <c r="IMA28" s="613">
        <f t="shared" ref="IMA28" si="3234">ILY$28*$C$28</f>
        <v>1.3923559423987612E+18</v>
      </c>
      <c r="IMC28" s="613">
        <f t="shared" ref="IMC28" si="3235">IMA$28*$C$28</f>
        <v>1.4062795018227489E+18</v>
      </c>
      <c r="IME28" s="613">
        <f t="shared" ref="IME28" si="3236">IMC$28*$C$28</f>
        <v>1.4203422968409764E+18</v>
      </c>
      <c r="IMG28" s="613">
        <f t="shared" ref="IMG28" si="3237">IME$28*$C$28</f>
        <v>1.4345457198093862E+18</v>
      </c>
      <c r="IMI28" s="613">
        <f t="shared" ref="IMI28" si="3238">IMG$28*$C$28</f>
        <v>1.4488911770074801E+18</v>
      </c>
      <c r="IMK28" s="613">
        <f t="shared" ref="IMK28" si="3239">IMI$28*$C$28</f>
        <v>1.4633800887775549E+18</v>
      </c>
      <c r="IMM28" s="613">
        <f t="shared" ref="IMM28" si="3240">IMK$28*$C$28</f>
        <v>1.4780138896653304E+18</v>
      </c>
      <c r="IMO28" s="613">
        <f t="shared" ref="IMO28" si="3241">IMM$28*$C$28</f>
        <v>1.4927940285619837E+18</v>
      </c>
      <c r="IMQ28" s="613">
        <f t="shared" ref="IMQ28" si="3242">IMO$28*$C$28</f>
        <v>1.5077219688476037E+18</v>
      </c>
      <c r="IMS28" s="613">
        <f t="shared" ref="IMS28" si="3243">IMQ$28*$C$28</f>
        <v>1.5227991885360799E+18</v>
      </c>
      <c r="IMU28" s="613">
        <f t="shared" ref="IMU28" si="3244">IMS$28*$C$28</f>
        <v>1.5380271804214408E+18</v>
      </c>
      <c r="IMW28" s="613">
        <f t="shared" ref="IMW28" si="3245">IMU$28*$C$28</f>
        <v>1.5534074522256553E+18</v>
      </c>
      <c r="IMY28" s="613">
        <f t="shared" ref="IMY28" si="3246">IMW$28*$C$28</f>
        <v>1.5689415267479119E+18</v>
      </c>
      <c r="INA28" s="613">
        <f t="shared" ref="INA28" si="3247">IMY$28*$C$28</f>
        <v>1.584630942015391E+18</v>
      </c>
      <c r="INC28" s="613">
        <f t="shared" ref="INC28" si="3248">INA$28*$C$28</f>
        <v>1.6004772514355448E+18</v>
      </c>
      <c r="INE28" s="613">
        <f t="shared" ref="INE28" si="3249">INC$28*$C$28</f>
        <v>1.6164820239499003E+18</v>
      </c>
      <c r="ING28" s="613">
        <f t="shared" ref="ING28" si="3250">INE$28*$C$28</f>
        <v>1.6326468441893993E+18</v>
      </c>
      <c r="INI28" s="613">
        <f t="shared" ref="INI28" si="3251">ING$28*$C$28</f>
        <v>1.6489733126312932E+18</v>
      </c>
      <c r="INK28" s="613">
        <f t="shared" ref="INK28" si="3252">INI$28*$C$28</f>
        <v>1.6654630457576061E+18</v>
      </c>
      <c r="INM28" s="613">
        <f t="shared" ref="INM28" si="3253">INK$28*$C$28</f>
        <v>1.6821176762151823E+18</v>
      </c>
      <c r="INO28" s="613">
        <f t="shared" ref="INO28" si="3254">INM$28*$C$28</f>
        <v>1.6989388529773343E+18</v>
      </c>
      <c r="INQ28" s="613">
        <f t="shared" ref="INQ28" si="3255">INO$28*$C$28</f>
        <v>1.7159282415071076E+18</v>
      </c>
      <c r="INS28" s="613">
        <f t="shared" ref="INS28" si="3256">INQ$28*$C$28</f>
        <v>1.7330875239221786E+18</v>
      </c>
      <c r="INU28" s="613">
        <f t="shared" ref="INU28" si="3257">INS$28*$C$28</f>
        <v>1.7504183991614003E+18</v>
      </c>
      <c r="INW28" s="613">
        <f t="shared" ref="INW28" si="3258">INU$28*$C$28</f>
        <v>1.7679225831530143E+18</v>
      </c>
      <c r="INY28" s="613">
        <f t="shared" ref="INY28" si="3259">INW$28*$C$28</f>
        <v>1.7856018089845445E+18</v>
      </c>
      <c r="IOA28" s="613">
        <f t="shared" ref="IOA28" si="3260">INY$28*$C$28</f>
        <v>1.80345782707439E+18</v>
      </c>
      <c r="IOC28" s="613">
        <f t="shared" ref="IOC28" si="3261">IOA$28*$C$28</f>
        <v>1.8214924053451338E+18</v>
      </c>
      <c r="IOE28" s="613">
        <f t="shared" ref="IOE28" si="3262">IOC$28*$C$28</f>
        <v>1.8397073293985851E+18</v>
      </c>
      <c r="IOG28" s="613">
        <f t="shared" ref="IOG28" si="3263">IOE$28*$C$28</f>
        <v>1.8581044026925709E+18</v>
      </c>
      <c r="IOI28" s="613">
        <f t="shared" ref="IOI28" si="3264">IOG$28*$C$28</f>
        <v>1.8766854467194967E+18</v>
      </c>
      <c r="IOK28" s="613">
        <f t="shared" ref="IOK28" si="3265">IOI$28*$C$28</f>
        <v>1.8954523011866916E+18</v>
      </c>
      <c r="IOM28" s="613">
        <f t="shared" ref="IOM28" si="3266">IOK$28*$C$28</f>
        <v>1.9144068241985585E+18</v>
      </c>
      <c r="IOO28" s="613">
        <f t="shared" ref="IOO28" si="3267">IOM$28*$C$28</f>
        <v>1.933550892440544E+18</v>
      </c>
      <c r="IOQ28" s="613">
        <f t="shared" ref="IOQ28" si="3268">IOO$28*$C$28</f>
        <v>1.9528864013649495E+18</v>
      </c>
      <c r="IOS28" s="613">
        <f t="shared" ref="IOS28" si="3269">IOQ$28*$C$28</f>
        <v>1.9724152653785989E+18</v>
      </c>
      <c r="IOU28" s="613">
        <f t="shared" ref="IOU28" si="3270">IOS$28*$C$28</f>
        <v>1.992139418032385E+18</v>
      </c>
      <c r="IOW28" s="613">
        <f t="shared" ref="IOW28" si="3271">IOU$28*$C$28</f>
        <v>2.0120608122127089E+18</v>
      </c>
      <c r="IOY28" s="613">
        <f t="shared" ref="IOY28" si="3272">IOW$28*$C$28</f>
        <v>2.032181420334836E+18</v>
      </c>
      <c r="IPA28" s="613">
        <f t="shared" ref="IPA28" si="3273">IOY$28*$C$28</f>
        <v>2.0525032345381844E+18</v>
      </c>
      <c r="IPC28" s="613">
        <f t="shared" ref="IPC28" si="3274">IPA$28*$C$28</f>
        <v>2.0730282668835663E+18</v>
      </c>
      <c r="IPE28" s="613">
        <f t="shared" ref="IPE28" si="3275">IPC$28*$C$28</f>
        <v>2.0937585495524019E+18</v>
      </c>
      <c r="IPG28" s="613">
        <f t="shared" ref="IPG28" si="3276">IPE$28*$C$28</f>
        <v>2.114696135047926E+18</v>
      </c>
      <c r="IPI28" s="613">
        <f t="shared" ref="IPI28" si="3277">IPG$28*$C$28</f>
        <v>2.1358430963984054E+18</v>
      </c>
      <c r="IPK28" s="613">
        <f t="shared" ref="IPK28" si="3278">IPI$28*$C$28</f>
        <v>2.1572015273623895E+18</v>
      </c>
      <c r="IPM28" s="613">
        <f t="shared" ref="IPM28" si="3279">IPK$28*$C$28</f>
        <v>2.1787735426360133E+18</v>
      </c>
      <c r="IPO28" s="613">
        <f t="shared" ref="IPO28" si="3280">IPM$28*$C$28</f>
        <v>2.2005612780623734E+18</v>
      </c>
      <c r="IPQ28" s="613">
        <f t="shared" ref="IPQ28" si="3281">IPO$28*$C$28</f>
        <v>2.2225668908429972E+18</v>
      </c>
      <c r="IPS28" s="613">
        <f t="shared" ref="IPS28" si="3282">IPQ$28*$C$28</f>
        <v>2.2447925597514273E+18</v>
      </c>
      <c r="IPU28" s="613">
        <f t="shared" ref="IPU28" si="3283">IPS$28*$C$28</f>
        <v>2.2672404853489416E+18</v>
      </c>
      <c r="IPW28" s="613">
        <f t="shared" ref="IPW28" si="3284">IPU$28*$C$28</f>
        <v>2.289912890202431E+18</v>
      </c>
      <c r="IPY28" s="613">
        <f t="shared" ref="IPY28" si="3285">IPW$28*$C$28</f>
        <v>2.3128120191044552E+18</v>
      </c>
      <c r="IQA28" s="613">
        <f t="shared" ref="IQA28" si="3286">IPY$28*$C$28</f>
        <v>2.3359401392954998E+18</v>
      </c>
      <c r="IQC28" s="613">
        <f t="shared" ref="IQC28" si="3287">IQA$28*$C$28</f>
        <v>2.3592995406884547E+18</v>
      </c>
      <c r="IQE28" s="613">
        <f t="shared" ref="IQE28" si="3288">IQC$28*$C$28</f>
        <v>2.382892536095339E+18</v>
      </c>
      <c r="IQG28" s="613">
        <f t="shared" ref="IQG28" si="3289">IQE$28*$C$28</f>
        <v>2.4067214614562924E+18</v>
      </c>
      <c r="IQI28" s="613">
        <f t="shared" ref="IQI28" si="3290">IQG$28*$C$28</f>
        <v>2.4307886760708552E+18</v>
      </c>
      <c r="IQK28" s="613">
        <f t="shared" ref="IQK28" si="3291">IQI$28*$C$28</f>
        <v>2.4550965628315638E+18</v>
      </c>
      <c r="IQM28" s="613">
        <f t="shared" ref="IQM28" si="3292">IQK$28*$C$28</f>
        <v>2.4796475284598794E+18</v>
      </c>
      <c r="IQO28" s="613">
        <f t="shared" ref="IQO28" si="3293">IQM$28*$C$28</f>
        <v>2.5044440037444782E+18</v>
      </c>
      <c r="IQQ28" s="613">
        <f t="shared" ref="IQQ28" si="3294">IQO$28*$C$28</f>
        <v>2.5294884437819228E+18</v>
      </c>
      <c r="IQS28" s="613">
        <f t="shared" ref="IQS28" si="3295">IQQ$28*$C$28</f>
        <v>2.5547833282197422E+18</v>
      </c>
      <c r="IQU28" s="613">
        <f t="shared" ref="IQU28" si="3296">IQS$28*$C$28</f>
        <v>2.5803311615019397E+18</v>
      </c>
      <c r="IQW28" s="613">
        <f t="shared" ref="IQW28" si="3297">IQU$28*$C$28</f>
        <v>2.6061344731169592E+18</v>
      </c>
      <c r="IQY28" s="613">
        <f t="shared" ref="IQY28" si="3298">IQW$28*$C$28</f>
        <v>2.632195817848129E+18</v>
      </c>
      <c r="IRA28" s="613">
        <f t="shared" ref="IRA28" si="3299">IQY$28*$C$28</f>
        <v>2.6585177760266102E+18</v>
      </c>
      <c r="IRC28" s="613">
        <f t="shared" ref="IRC28" si="3300">IRA$28*$C$28</f>
        <v>2.6851029537868764E+18</v>
      </c>
      <c r="IRE28" s="613">
        <f t="shared" ref="IRE28" si="3301">IRC$28*$C$28</f>
        <v>2.7119539833247452E+18</v>
      </c>
      <c r="IRG28" s="613">
        <f t="shared" ref="IRG28" si="3302">IRE$28*$C$28</f>
        <v>2.7390735231579924E+18</v>
      </c>
      <c r="IRI28" s="613">
        <f t="shared" ref="IRI28" si="3303">IRG$28*$C$28</f>
        <v>2.7664642583895726E+18</v>
      </c>
      <c r="IRK28" s="613">
        <f t="shared" ref="IRK28" si="3304">IRI$28*$C$28</f>
        <v>2.7941289009734682E+18</v>
      </c>
      <c r="IRM28" s="613">
        <f t="shared" ref="IRM28" si="3305">IRK$28*$C$28</f>
        <v>2.8220701899832028E+18</v>
      </c>
      <c r="IRO28" s="613">
        <f t="shared" ref="IRO28" si="3306">IRM$28*$C$28</f>
        <v>2.8502908918830346E+18</v>
      </c>
      <c r="IRQ28" s="613">
        <f t="shared" ref="IRQ28" si="3307">IRO$28*$C$28</f>
        <v>2.8787938008018652E+18</v>
      </c>
      <c r="IRS28" s="613">
        <f t="shared" ref="IRS28" si="3308">IRQ$28*$C$28</f>
        <v>2.9075817388098836E+18</v>
      </c>
      <c r="IRU28" s="613">
        <f t="shared" ref="IRU28" si="3309">IRS$28*$C$28</f>
        <v>2.9366575561979827E+18</v>
      </c>
      <c r="IRW28" s="613">
        <f t="shared" ref="IRW28" si="3310">IRU$28*$C$28</f>
        <v>2.9660241317599626E+18</v>
      </c>
      <c r="IRY28" s="613">
        <f t="shared" ref="IRY28" si="3311">IRW$28*$C$28</f>
        <v>2.9956843730775624E+18</v>
      </c>
      <c r="ISA28" s="613">
        <f t="shared" ref="ISA28" si="3312">IRY$28*$C$28</f>
        <v>3.0256412168083379E+18</v>
      </c>
      <c r="ISC28" s="613">
        <f t="shared" ref="ISC28" si="3313">ISA$28*$C$28</f>
        <v>3.0558976289764214E+18</v>
      </c>
      <c r="ISE28" s="613">
        <f t="shared" ref="ISE28" si="3314">ISC$28*$C$28</f>
        <v>3.0864566052661857E+18</v>
      </c>
      <c r="ISG28" s="613">
        <f t="shared" ref="ISG28" si="3315">ISE$28*$C$28</f>
        <v>3.1173211713188475E+18</v>
      </c>
      <c r="ISI28" s="613">
        <f t="shared" ref="ISI28" si="3316">ISG$28*$C$28</f>
        <v>3.1484943830320358E+18</v>
      </c>
      <c r="ISK28" s="613">
        <f t="shared" ref="ISK28" si="3317">ISI$28*$C$28</f>
        <v>3.1799793268623565E+18</v>
      </c>
      <c r="ISM28" s="613">
        <f t="shared" ref="ISM28" si="3318">ISK$28*$C$28</f>
        <v>3.2117791201309798E+18</v>
      </c>
      <c r="ISO28" s="613">
        <f t="shared" ref="ISO28" si="3319">ISM$28*$C$28</f>
        <v>3.2438969113322895E+18</v>
      </c>
      <c r="ISQ28" s="613">
        <f t="shared" ref="ISQ28" si="3320">ISO$28*$C$28</f>
        <v>3.2763358804456125E+18</v>
      </c>
      <c r="ISS28" s="613">
        <f t="shared" ref="ISS28" si="3321">ISQ$28*$C$28</f>
        <v>3.3090992392500685E+18</v>
      </c>
      <c r="ISU28" s="613">
        <f t="shared" ref="ISU28" si="3322">ISS$28*$C$28</f>
        <v>3.3421902316425692E+18</v>
      </c>
      <c r="ISW28" s="613">
        <f t="shared" ref="ISW28" si="3323">ISU$28*$C$28</f>
        <v>3.3756121339589949E+18</v>
      </c>
      <c r="ISY28" s="613">
        <f t="shared" ref="ISY28" si="3324">ISW$28*$C$28</f>
        <v>3.4093682552985851E+18</v>
      </c>
      <c r="ITA28" s="613">
        <f t="shared" ref="ITA28" si="3325">ISY$28*$C$28</f>
        <v>3.4434619378515712E+18</v>
      </c>
      <c r="ITC28" s="613">
        <f t="shared" ref="ITC28" si="3326">ITA$28*$C$28</f>
        <v>3.4778965572300872E+18</v>
      </c>
      <c r="ITE28" s="613">
        <f t="shared" ref="ITE28" si="3327">ITC$28*$C$28</f>
        <v>3.512675522802388E+18</v>
      </c>
      <c r="ITG28" s="613">
        <f t="shared" ref="ITG28" si="3328">ITE$28*$C$28</f>
        <v>3.5478022780304118E+18</v>
      </c>
      <c r="ITI28" s="613">
        <f t="shared" ref="ITI28" si="3329">ITG$28*$C$28</f>
        <v>3.5832803008107162E+18</v>
      </c>
      <c r="ITK28" s="613">
        <f t="shared" ref="ITK28" si="3330">ITI$28*$C$28</f>
        <v>3.6191131038188232E+18</v>
      </c>
      <c r="ITM28" s="613">
        <f t="shared" ref="ITM28" si="3331">ITK$28*$C$28</f>
        <v>3.6553042348570112E+18</v>
      </c>
      <c r="ITO28" s="613">
        <f t="shared" ref="ITO28" si="3332">ITM$28*$C$28</f>
        <v>3.6918572772055813E+18</v>
      </c>
      <c r="ITQ28" s="613">
        <f t="shared" ref="ITQ28" si="3333">ITO$28*$C$28</f>
        <v>3.7287758499776374E+18</v>
      </c>
      <c r="ITS28" s="613">
        <f t="shared" ref="ITS28" si="3334">ITQ$28*$C$28</f>
        <v>3.7660636084774139E+18</v>
      </c>
      <c r="ITU28" s="613">
        <f t="shared" ref="ITU28" si="3335">ITS$28*$C$28</f>
        <v>3.8037242445621883E+18</v>
      </c>
      <c r="ITW28" s="613">
        <f t="shared" ref="ITW28" si="3336">ITU$28*$C$28</f>
        <v>3.84176148700781E+18</v>
      </c>
      <c r="ITY28" s="613">
        <f t="shared" ref="ITY28" si="3337">ITW$28*$C$28</f>
        <v>3.880179101877888E+18</v>
      </c>
      <c r="IUA28" s="613">
        <f t="shared" ref="IUA28" si="3338">ITY$28*$C$28</f>
        <v>3.9189808928966671E+18</v>
      </c>
      <c r="IUC28" s="613">
        <f t="shared" ref="IUC28" si="3339">IUA$28*$C$28</f>
        <v>3.9581707018256338E+18</v>
      </c>
      <c r="IUE28" s="613">
        <f t="shared" ref="IUE28" si="3340">IUC$28*$C$28</f>
        <v>3.9977524088438902E+18</v>
      </c>
      <c r="IUG28" s="613">
        <f t="shared" ref="IUG28" si="3341">IUE$28*$C$28</f>
        <v>4.037729932932329E+18</v>
      </c>
      <c r="IUI28" s="613">
        <f t="shared" ref="IUI28" si="3342">IUG$28*$C$28</f>
        <v>4.0781072322616525E+18</v>
      </c>
      <c r="IUK28" s="613">
        <f t="shared" ref="IUK28" si="3343">IUI$28*$C$28</f>
        <v>4.1188883045842688E+18</v>
      </c>
      <c r="IUM28" s="613">
        <f t="shared" ref="IUM28" si="3344">IUK$28*$C$28</f>
        <v>4.1600771876301117E+18</v>
      </c>
      <c r="IUO28" s="613">
        <f t="shared" ref="IUO28" si="3345">IUM$28*$C$28</f>
        <v>4.2016779595064131E+18</v>
      </c>
      <c r="IUQ28" s="613">
        <f t="shared" ref="IUQ28" si="3346">IUO$28*$C$28</f>
        <v>4.2436947391014774E+18</v>
      </c>
      <c r="IUS28" s="613">
        <f t="shared" ref="IUS28" si="3347">IUQ$28*$C$28</f>
        <v>4.2861316864924923E+18</v>
      </c>
      <c r="IUU28" s="613">
        <f t="shared" ref="IUU28" si="3348">IUS$28*$C$28</f>
        <v>4.3289930033574175E+18</v>
      </c>
      <c r="IUW28" s="613">
        <f t="shared" ref="IUW28" si="3349">IUU$28*$C$28</f>
        <v>4.3722829333909919E+18</v>
      </c>
      <c r="IUY28" s="613">
        <f t="shared" ref="IUY28" si="3350">IUW$28*$C$28</f>
        <v>4.4160057627249019E+18</v>
      </c>
      <c r="IVA28" s="613">
        <f t="shared" ref="IVA28" si="3351">IUY$28*$C$28</f>
        <v>4.460165820352151E+18</v>
      </c>
      <c r="IVC28" s="613">
        <f t="shared" ref="IVC28" si="3352">IVA$28*$C$28</f>
        <v>4.5047674785556726E+18</v>
      </c>
      <c r="IVE28" s="613">
        <f t="shared" ref="IVE28" si="3353">IVC$28*$C$28</f>
        <v>4.5498151533412296E+18</v>
      </c>
      <c r="IVG28" s="613">
        <f t="shared" ref="IVG28" si="3354">IVE$28*$C$28</f>
        <v>4.5953133048746419E+18</v>
      </c>
      <c r="IVI28" s="613">
        <f t="shared" ref="IVI28" si="3355">IVG$28*$C$28</f>
        <v>4.6412664379233884E+18</v>
      </c>
      <c r="IVK28" s="613">
        <f t="shared" ref="IVK28" si="3356">IVI$28*$C$28</f>
        <v>4.6876791023026227E+18</v>
      </c>
      <c r="IVM28" s="613">
        <f t="shared" ref="IVM28" si="3357">IVK$28*$C$28</f>
        <v>4.7345558933256489E+18</v>
      </c>
      <c r="IVO28" s="613">
        <f t="shared" ref="IVO28" si="3358">IVM$28*$C$28</f>
        <v>4.7819014522589051E+18</v>
      </c>
      <c r="IVQ28" s="613">
        <f t="shared" ref="IVQ28" si="3359">IVO$28*$C$28</f>
        <v>4.8297204667814943E+18</v>
      </c>
      <c r="IVS28" s="613">
        <f t="shared" ref="IVS28" si="3360">IVQ$28*$C$28</f>
        <v>4.8780176714493092E+18</v>
      </c>
      <c r="IVU28" s="613">
        <f t="shared" ref="IVU28" si="3361">IVS$28*$C$28</f>
        <v>4.9267978481638021E+18</v>
      </c>
      <c r="IVW28" s="613">
        <f t="shared" ref="IVW28" si="3362">IVU$28*$C$28</f>
        <v>4.9760658266454405E+18</v>
      </c>
      <c r="IVY28" s="613">
        <f t="shared" ref="IVY28" si="3363">IVW$28*$C$28</f>
        <v>5.0258264849118945E+18</v>
      </c>
      <c r="IWA28" s="613">
        <f t="shared" ref="IWA28" si="3364">IVY$28*$C$28</f>
        <v>5.0760847497610138E+18</v>
      </c>
      <c r="IWC28" s="613">
        <f t="shared" ref="IWC28" si="3365">IWA$28*$C$28</f>
        <v>5.126845597258624E+18</v>
      </c>
      <c r="IWE28" s="613">
        <f t="shared" ref="IWE28" si="3366">IWC$28*$C$28</f>
        <v>5.1781140532312105E+18</v>
      </c>
      <c r="IWG28" s="613">
        <f t="shared" ref="IWG28" si="3367">IWE$28*$C$28</f>
        <v>5.2298951937635226E+18</v>
      </c>
      <c r="IWI28" s="613">
        <f t="shared" ref="IWI28" si="3368">IWG$28*$C$28</f>
        <v>5.2821941457011579E+18</v>
      </c>
      <c r="IWK28" s="613">
        <f t="shared" ref="IWK28" si="3369">IWI$28*$C$28</f>
        <v>5.3350160871581696E+18</v>
      </c>
      <c r="IWM28" s="613">
        <f t="shared" ref="IWM28" si="3370">IWK$28*$C$28</f>
        <v>5.3883662480297513E+18</v>
      </c>
      <c r="IWO28" s="613">
        <f t="shared" ref="IWO28" si="3371">IWM$28*$C$28</f>
        <v>5.4422499105100493E+18</v>
      </c>
      <c r="IWQ28" s="613">
        <f t="shared" ref="IWQ28" si="3372">IWO$28*$C$28</f>
        <v>5.4966724096151501E+18</v>
      </c>
      <c r="IWS28" s="613">
        <f t="shared" ref="IWS28" si="3373">IWQ$28*$C$28</f>
        <v>5.5516391337113016E+18</v>
      </c>
      <c r="IWU28" s="613">
        <f t="shared" ref="IWU28" si="3374">IWS$28*$C$28</f>
        <v>5.6071555250484142E+18</v>
      </c>
      <c r="IWW28" s="613">
        <f t="shared" ref="IWW28" si="3375">IWU$28*$C$28</f>
        <v>5.6632270802988984E+18</v>
      </c>
      <c r="IWY28" s="613">
        <f t="shared" ref="IWY28" si="3376">IWW$28*$C$28</f>
        <v>5.7198593511018875E+18</v>
      </c>
      <c r="IXA28" s="613">
        <f t="shared" ref="IXA28" si="3377">IWY$28*$C$28</f>
        <v>5.777057944612906E+18</v>
      </c>
      <c r="IXC28" s="613">
        <f t="shared" ref="IXC28" si="3378">IXA$28*$C$28</f>
        <v>5.8348285240590346E+18</v>
      </c>
      <c r="IXE28" s="613">
        <f t="shared" ref="IXE28" si="3379">IXC$28*$C$28</f>
        <v>5.893176809299625E+18</v>
      </c>
      <c r="IXG28" s="613">
        <f t="shared" ref="IXG28" si="3380">IXE$28*$C$28</f>
        <v>5.9521085773926216E+18</v>
      </c>
      <c r="IXI28" s="613">
        <f t="shared" ref="IXI28" si="3381">IXG$28*$C$28</f>
        <v>6.011629663166548E+18</v>
      </c>
      <c r="IXK28" s="613">
        <f t="shared" ref="IXK28" si="3382">IXI$28*$C$28</f>
        <v>6.0717459597982136E+18</v>
      </c>
      <c r="IXM28" s="613">
        <f t="shared" ref="IXM28" si="3383">IXK$28*$C$28</f>
        <v>6.1324634193961953E+18</v>
      </c>
      <c r="IXO28" s="613">
        <f t="shared" ref="IXO28" si="3384">IXM$28*$C$28</f>
        <v>6.1937880535901573E+18</v>
      </c>
      <c r="IXQ28" s="613">
        <f t="shared" ref="IXQ28" si="3385">IXO$28*$C$28</f>
        <v>6.2557259341260585E+18</v>
      </c>
      <c r="IXS28" s="613">
        <f t="shared" ref="IXS28" si="3386">IXQ$28*$C$28</f>
        <v>6.3182831934673193E+18</v>
      </c>
      <c r="IXU28" s="613">
        <f t="shared" ref="IXU28" si="3387">IXS$28*$C$28</f>
        <v>6.3814660254019922E+18</v>
      </c>
      <c r="IXW28" s="613">
        <f t="shared" ref="IXW28" si="3388">IXU$28*$C$28</f>
        <v>6.4452806856560118E+18</v>
      </c>
      <c r="IXY28" s="613">
        <f t="shared" ref="IXY28" si="3389">IXW$28*$C$28</f>
        <v>6.5097334925125724E+18</v>
      </c>
      <c r="IYA28" s="613">
        <f t="shared" ref="IYA28" si="3390">IXY$28*$C$28</f>
        <v>6.574830827437698E+18</v>
      </c>
      <c r="IYC28" s="613">
        <f t="shared" ref="IYC28" si="3391">IYA$28*$C$28</f>
        <v>6.6405791357120748E+18</v>
      </c>
      <c r="IYE28" s="613">
        <f t="shared" ref="IYE28" si="3392">IYC$28*$C$28</f>
        <v>6.7069849270691953E+18</v>
      </c>
      <c r="IYG28" s="613">
        <f t="shared" ref="IYG28" si="3393">IYE$28*$C$28</f>
        <v>6.7740547763398871E+18</v>
      </c>
      <c r="IYI28" s="613">
        <f t="shared" ref="IYI28" si="3394">IYG$28*$C$28</f>
        <v>6.8417953241032858E+18</v>
      </c>
      <c r="IYK28" s="613">
        <f t="shared" ref="IYK28" si="3395">IYI$28*$C$28</f>
        <v>6.9102132773443185E+18</v>
      </c>
      <c r="IYM28" s="613">
        <f t="shared" ref="IYM28" si="3396">IYK$28*$C$28</f>
        <v>6.979315410117762E+18</v>
      </c>
      <c r="IYO28" s="613">
        <f t="shared" ref="IYO28" si="3397">IYM$28*$C$28</f>
        <v>7.0491085642189394E+18</v>
      </c>
      <c r="IYQ28" s="613">
        <f t="shared" ref="IYQ28" si="3398">IYO$28*$C$28</f>
        <v>7.1195996498611292E+18</v>
      </c>
      <c r="IYS28" s="613">
        <f t="shared" ref="IYS28" si="3399">IYQ$28*$C$28</f>
        <v>7.1907956463597404E+18</v>
      </c>
      <c r="IYU28" s="613">
        <f t="shared" ref="IYU28" si="3400">IYS$28*$C$28</f>
        <v>7.262703602823338E+18</v>
      </c>
      <c r="IYW28" s="613">
        <f t="shared" ref="IYW28" si="3401">IYU$28*$C$28</f>
        <v>7.3353306388515717E+18</v>
      </c>
      <c r="IYY28" s="613">
        <f t="shared" ref="IYY28" si="3402">IYW$28*$C$28</f>
        <v>7.4086839452400876E+18</v>
      </c>
      <c r="IZA28" s="613">
        <f t="shared" ref="IZA28" si="3403">IYY$28*$C$28</f>
        <v>7.4827707846924882E+18</v>
      </c>
      <c r="IZC28" s="613">
        <f t="shared" ref="IZC28" si="3404">IZA$28*$C$28</f>
        <v>7.5575984925394135E+18</v>
      </c>
      <c r="IZE28" s="613">
        <f t="shared" ref="IZE28" si="3405">IZC$28*$C$28</f>
        <v>7.6331744774648074E+18</v>
      </c>
      <c r="IZG28" s="613">
        <f t="shared" ref="IZG28" si="3406">IZE$28*$C$28</f>
        <v>7.7095062222394552E+18</v>
      </c>
      <c r="IZI28" s="613">
        <f t="shared" ref="IZI28" si="3407">IZG$28*$C$28</f>
        <v>7.7866012844618496E+18</v>
      </c>
      <c r="IZK28" s="613">
        <f t="shared" ref="IZK28" si="3408">IZI$28*$C$28</f>
        <v>7.8644672973064684E+18</v>
      </c>
      <c r="IZM28" s="613">
        <f t="shared" ref="IZM28" si="3409">IZK$28*$C$28</f>
        <v>7.9431119702795336E+18</v>
      </c>
      <c r="IZO28" s="613">
        <f t="shared" ref="IZO28" si="3410">IZM$28*$C$28</f>
        <v>8.0225430899823288E+18</v>
      </c>
      <c r="IZQ28" s="613">
        <f t="shared" ref="IZQ28" si="3411">IZO$28*$C$28</f>
        <v>8.1027685208821524E+18</v>
      </c>
      <c r="IZS28" s="613">
        <f t="shared" ref="IZS28" si="3412">IZQ$28*$C$28</f>
        <v>8.1837962060909742E+18</v>
      </c>
      <c r="IZU28" s="613">
        <f t="shared" ref="IZU28" si="3413">IZS$28*$C$28</f>
        <v>8.2656341681518838E+18</v>
      </c>
      <c r="IZW28" s="613">
        <f t="shared" ref="IZW28" si="3414">IZU$28*$C$28</f>
        <v>8.3482905098334024E+18</v>
      </c>
      <c r="IZY28" s="613">
        <f t="shared" ref="IZY28" si="3415">IZW$28*$C$28</f>
        <v>8.4317734149317366E+18</v>
      </c>
      <c r="JAA28" s="613">
        <f t="shared" ref="JAA28" si="3416">IZY$28*$C$28</f>
        <v>8.5160911490810542E+18</v>
      </c>
      <c r="JAC28" s="613">
        <f t="shared" ref="JAC28" si="3417">JAA$28*$C$28</f>
        <v>8.6012520605718651E+18</v>
      </c>
      <c r="JAE28" s="613">
        <f t="shared" ref="JAE28" si="3418">JAC$28*$C$28</f>
        <v>8.6872645811775836E+18</v>
      </c>
      <c r="JAG28" s="613">
        <f t="shared" ref="JAG28" si="3419">JAE$28*$C$28</f>
        <v>8.7741372269893591E+18</v>
      </c>
      <c r="JAI28" s="613">
        <f t="shared" ref="JAI28" si="3420">JAG$28*$C$28</f>
        <v>8.8618785992592527E+18</v>
      </c>
      <c r="JAK28" s="613">
        <f t="shared" ref="JAK28" si="3421">JAI$28*$C$28</f>
        <v>8.9504973852518451E+18</v>
      </c>
      <c r="JAM28" s="613">
        <f t="shared" ref="JAM28" si="3422">JAK$28*$C$28</f>
        <v>9.0400023591043635E+18</v>
      </c>
      <c r="JAO28" s="613">
        <f t="shared" ref="JAO28" si="3423">JAM$28*$C$28</f>
        <v>9.1304023826954076E+18</v>
      </c>
      <c r="JAQ28" s="613">
        <f t="shared" ref="JAQ28" si="3424">JAO$28*$C$28</f>
        <v>9.2217064065223619E+18</v>
      </c>
      <c r="JAS28" s="613">
        <f t="shared" ref="JAS28" si="3425">JAQ$28*$C$28</f>
        <v>9.3139234705875866E+18</v>
      </c>
      <c r="JAU28" s="613">
        <f t="shared" ref="JAU28" si="3426">JAS$28*$C$28</f>
        <v>9.4070627052934615E+18</v>
      </c>
      <c r="JAW28" s="613">
        <f t="shared" ref="JAW28" si="3427">JAU$28*$C$28</f>
        <v>9.5011333323463967E+18</v>
      </c>
      <c r="JAY28" s="613">
        <f t="shared" ref="JAY28" si="3428">JAW$28*$C$28</f>
        <v>9.5961446656698614E+18</v>
      </c>
      <c r="JBA28" s="613">
        <f t="shared" ref="JBA28" si="3429">JAY$28*$C$28</f>
        <v>9.6921061123265597E+18</v>
      </c>
      <c r="JBC28" s="613">
        <f t="shared" ref="JBC28" si="3430">JBA$28*$C$28</f>
        <v>9.7890271734498263E+18</v>
      </c>
      <c r="JBE28" s="613">
        <f t="shared" ref="JBE28" si="3431">JBC$28*$C$28</f>
        <v>9.8869174451843256E+18</v>
      </c>
      <c r="JBG28" s="613">
        <f t="shared" ref="JBG28" si="3432">JBE$28*$C$28</f>
        <v>9.9857866196361687E+18</v>
      </c>
      <c r="JBI28" s="613">
        <f t="shared" ref="JBI28" si="3433">JBG$28*$C$28</f>
        <v>1.008564448583253E+19</v>
      </c>
      <c r="JBK28" s="613">
        <f t="shared" ref="JBK28" si="3434">JBI$28*$C$28</f>
        <v>1.0186500930690855E+19</v>
      </c>
      <c r="JBM28" s="613">
        <f t="shared" ref="JBM28" si="3435">JBK$28*$C$28</f>
        <v>1.0288365939997764E+19</v>
      </c>
      <c r="JBO28" s="613">
        <f t="shared" ref="JBO28" si="3436">JBM$28*$C$28</f>
        <v>1.0391249599397741E+19</v>
      </c>
      <c r="JBQ28" s="613">
        <f t="shared" ref="JBQ28" si="3437">JBO$28*$C$28</f>
        <v>1.0495162095391717E+19</v>
      </c>
      <c r="JBS28" s="613">
        <f t="shared" ref="JBS28" si="3438">JBQ$28*$C$28</f>
        <v>1.0600113716345635E+19</v>
      </c>
      <c r="JBU28" s="613">
        <f t="shared" ref="JBU28" si="3439">JBS$28*$C$28</f>
        <v>1.0706114853509091E+19</v>
      </c>
      <c r="JBW28" s="613">
        <f t="shared" ref="JBW28" si="3440">JBU$28*$C$28</f>
        <v>1.0813176002044183E+19</v>
      </c>
      <c r="JBY28" s="613">
        <f t="shared" ref="JBY28" si="3441">JBW$28*$C$28</f>
        <v>1.0921307762064624E+19</v>
      </c>
      <c r="JCA28" s="613">
        <f t="shared" ref="JCA28" si="3442">JBY$28*$C$28</f>
        <v>1.103052083968527E+19</v>
      </c>
      <c r="JCC28" s="613">
        <f t="shared" ref="JCC28" si="3443">JCA$28*$C$28</f>
        <v>1.1140826048082123E+19</v>
      </c>
      <c r="JCE28" s="613">
        <f t="shared" ref="JCE28" si="3444">JCC$28*$C$28</f>
        <v>1.1252234308562944E+19</v>
      </c>
      <c r="JCG28" s="613">
        <f t="shared" ref="JCG28" si="3445">JCE$28*$C$28</f>
        <v>1.1364756651648573E+19</v>
      </c>
      <c r="JCI28" s="613">
        <f t="shared" ref="JCI28" si="3446">JCG$28*$C$28</f>
        <v>1.147840421816506E+19</v>
      </c>
      <c r="JCK28" s="613">
        <f t="shared" ref="JCK28" si="3447">JCI$28*$C$28</f>
        <v>1.159318826034671E+19</v>
      </c>
      <c r="JCM28" s="613">
        <f t="shared" ref="JCM28" si="3448">JCK$28*$C$28</f>
        <v>1.1709120142950177E+19</v>
      </c>
      <c r="JCO28" s="613">
        <f t="shared" ref="JCO28" si="3449">JCM$28*$C$28</f>
        <v>1.1826211344379679E+19</v>
      </c>
      <c r="JCQ28" s="613">
        <f t="shared" ref="JCQ28" si="3450">JCO$28*$C$28</f>
        <v>1.1944473457823476E+19</v>
      </c>
      <c r="JCS28" s="613">
        <f t="shared" ref="JCS28" si="3451">JCQ$28*$C$28</f>
        <v>1.2063918192401711E+19</v>
      </c>
      <c r="JCU28" s="613">
        <f t="shared" ref="JCU28" si="3452">JCS$28*$C$28</f>
        <v>1.2184557374325729E+19</v>
      </c>
      <c r="JCW28" s="613">
        <f t="shared" ref="JCW28" si="3453">JCU$28*$C$28</f>
        <v>1.2306402948068987E+19</v>
      </c>
      <c r="JCY28" s="613">
        <f t="shared" ref="JCY28" si="3454">JCW$28*$C$28</f>
        <v>1.2429466977549677E+19</v>
      </c>
      <c r="JDA28" s="613">
        <f t="shared" ref="JDA28" si="3455">JCY$28*$C$28</f>
        <v>1.2553761647325174E+19</v>
      </c>
      <c r="JDC28" s="613">
        <f t="shared" ref="JDC28" si="3456">JDA$28*$C$28</f>
        <v>1.2679299263798426E+19</v>
      </c>
      <c r="JDE28" s="613">
        <f t="shared" ref="JDE28" si="3457">JDC$28*$C$28</f>
        <v>1.280609225643641E+19</v>
      </c>
      <c r="JDG28" s="613">
        <f t="shared" ref="JDG28" si="3458">JDE$28*$C$28</f>
        <v>1.2934153179000775E+19</v>
      </c>
      <c r="JDI28" s="613">
        <f t="shared" ref="JDI28" si="3459">JDG$28*$C$28</f>
        <v>1.3063494710790783E+19</v>
      </c>
      <c r="JDK28" s="613">
        <f t="shared" ref="JDK28" si="3460">JDI$28*$C$28</f>
        <v>1.3194129657898691E+19</v>
      </c>
      <c r="JDM28" s="613">
        <f t="shared" ref="JDM28" si="3461">JDK$28*$C$28</f>
        <v>1.3326070954477679E+19</v>
      </c>
      <c r="JDO28" s="613">
        <f t="shared" ref="JDO28" si="3462">JDM$28*$C$28</f>
        <v>1.3459331664022456E+19</v>
      </c>
      <c r="JDQ28" s="613">
        <f t="shared" ref="JDQ28" si="3463">JDO$28*$C$28</f>
        <v>1.3593924980662682E+19</v>
      </c>
      <c r="JDS28" s="613">
        <f t="shared" ref="JDS28" si="3464">JDQ$28*$C$28</f>
        <v>1.3729864230469308E+19</v>
      </c>
      <c r="JDU28" s="613">
        <f t="shared" ref="JDU28" si="3465">JDS$28*$C$28</f>
        <v>1.3867162872774001E+19</v>
      </c>
      <c r="JDW28" s="613">
        <f t="shared" ref="JDW28" si="3466">JDU$28*$C$28</f>
        <v>1.4005834501501741E+19</v>
      </c>
      <c r="JDY28" s="613">
        <f t="shared" ref="JDY28" si="3467">JDW$28*$C$28</f>
        <v>1.4145892846516759E+19</v>
      </c>
      <c r="JEA28" s="613">
        <f t="shared" ref="JEA28" si="3468">JDY$28*$C$28</f>
        <v>1.4287351774981927E+19</v>
      </c>
      <c r="JEC28" s="613">
        <f t="shared" ref="JEC28" si="3469">JEA$28*$C$28</f>
        <v>1.4430225292731746E+19</v>
      </c>
      <c r="JEE28" s="613">
        <f t="shared" ref="JEE28" si="3470">JEC$28*$C$28</f>
        <v>1.4574527545659064E+19</v>
      </c>
      <c r="JEG28" s="613">
        <f t="shared" ref="JEG28" si="3471">JEE$28*$C$28</f>
        <v>1.4720272821115654E+19</v>
      </c>
      <c r="JEI28" s="613">
        <f t="shared" ref="JEI28" si="3472">JEG$28*$C$28</f>
        <v>1.4867475549326811E+19</v>
      </c>
      <c r="JEK28" s="613">
        <f t="shared" ref="JEK28" si="3473">JEI$28*$C$28</f>
        <v>1.5016150304820079E+19</v>
      </c>
      <c r="JEM28" s="613">
        <f t="shared" ref="JEM28" si="3474">JEK$28*$C$28</f>
        <v>1.5166311807868279E+19</v>
      </c>
      <c r="JEO28" s="613">
        <f t="shared" ref="JEO28" si="3475">JEM$28*$C$28</f>
        <v>1.5317974925946962E+19</v>
      </c>
      <c r="JEQ28" s="613">
        <f t="shared" ref="JEQ28" si="3476">JEO$28*$C$28</f>
        <v>1.5471154675206431E+19</v>
      </c>
      <c r="JES28" s="613">
        <f t="shared" ref="JES28" si="3477">JEQ$28*$C$28</f>
        <v>1.5625866221958494E+19</v>
      </c>
      <c r="JEU28" s="613">
        <f t="shared" ref="JEU28" si="3478">JES$28*$C$28</f>
        <v>1.578212488417808E+19</v>
      </c>
      <c r="JEW28" s="613">
        <f t="shared" ref="JEW28" si="3479">JEU$28*$C$28</f>
        <v>1.5939946133019861E+19</v>
      </c>
      <c r="JEY28" s="613">
        <f t="shared" ref="JEY28" si="3480">JEW$28*$C$28</f>
        <v>1.609934559435006E+19</v>
      </c>
      <c r="JFA28" s="613">
        <f t="shared" ref="JFA28" si="3481">JEY$28*$C$28</f>
        <v>1.6260339050293559E+19</v>
      </c>
      <c r="JFC28" s="613">
        <f t="shared" ref="JFC28" si="3482">JFA$28*$C$28</f>
        <v>1.6422942440796496E+19</v>
      </c>
      <c r="JFE28" s="613">
        <f t="shared" ref="JFE28" si="3483">JFC$28*$C$28</f>
        <v>1.6587171865204462E+19</v>
      </c>
      <c r="JFG28" s="613">
        <f t="shared" ref="JFG28" si="3484">JFE$28*$C$28</f>
        <v>1.6753043583856507E+19</v>
      </c>
      <c r="JFI28" s="613">
        <f t="shared" ref="JFI28" si="3485">JFG$28*$C$28</f>
        <v>1.6920574019695071E+19</v>
      </c>
      <c r="JFK28" s="613">
        <f t="shared" ref="JFK28" si="3486">JFI$28*$C$28</f>
        <v>1.7089779759892021E+19</v>
      </c>
      <c r="JFM28" s="613">
        <f t="shared" ref="JFM28" si="3487">JFK$28*$C$28</f>
        <v>1.7260677557490942E+19</v>
      </c>
      <c r="JFO28" s="613">
        <f t="shared" ref="JFO28" si="3488">JFM$28*$C$28</f>
        <v>1.7433284333065851E+19</v>
      </c>
      <c r="JFQ28" s="613">
        <f t="shared" ref="JFQ28" si="3489">JFO$28*$C$28</f>
        <v>1.7607617176396509E+19</v>
      </c>
      <c r="JFS28" s="613">
        <f t="shared" ref="JFS28" si="3490">JFQ$28*$C$28</f>
        <v>1.7783693348160475E+19</v>
      </c>
      <c r="JFU28" s="613">
        <f t="shared" ref="JFU28" si="3491">JFS$28*$C$28</f>
        <v>1.796153028164208E+19</v>
      </c>
      <c r="JFW28" s="613">
        <f t="shared" ref="JFW28" si="3492">JFU$28*$C$28</f>
        <v>1.8141145584458502E+19</v>
      </c>
      <c r="JFY28" s="613">
        <f t="shared" ref="JFY28" si="3493">JFW$28*$C$28</f>
        <v>1.8322557040303088E+19</v>
      </c>
      <c r="JGA28" s="613">
        <f t="shared" ref="JGA28" si="3494">JFY$28*$C$28</f>
        <v>1.8505782610706117E+19</v>
      </c>
      <c r="JGC28" s="613">
        <f t="shared" ref="JGC28" si="3495">JGA$28*$C$28</f>
        <v>1.8690840436813177E+19</v>
      </c>
      <c r="JGE28" s="613">
        <f t="shared" ref="JGE28" si="3496">JGC$28*$C$28</f>
        <v>1.8877748841181307E+19</v>
      </c>
      <c r="JGG28" s="613">
        <f t="shared" ref="JGG28" si="3497">JGE$28*$C$28</f>
        <v>1.9066526329593119E+19</v>
      </c>
      <c r="JGI28" s="613">
        <f t="shared" ref="JGI28" si="3498">JGG$28*$C$28</f>
        <v>1.9257191592889049E+19</v>
      </c>
      <c r="JGK28" s="613">
        <f t="shared" ref="JGK28" si="3499">JGI$28*$C$28</f>
        <v>1.944976350881794E+19</v>
      </c>
      <c r="JGM28" s="613">
        <f t="shared" ref="JGM28" si="3500">JGK$28*$C$28</f>
        <v>1.964426114390612E+19</v>
      </c>
      <c r="JGO28" s="613">
        <f t="shared" ref="JGO28" si="3501">JGM$28*$C$28</f>
        <v>1.9840703755345183E+19</v>
      </c>
      <c r="JGQ28" s="613">
        <f t="shared" ref="JGQ28" si="3502">JGO$28*$C$28</f>
        <v>2.0039110792898634E+19</v>
      </c>
      <c r="JGS28" s="613">
        <f t="shared" ref="JGS28" si="3503">JGQ$28*$C$28</f>
        <v>2.0239501900827619E+19</v>
      </c>
      <c r="JGU28" s="613">
        <f t="shared" ref="JGU28" si="3504">JGS$28*$C$28</f>
        <v>2.0441896919835894E+19</v>
      </c>
      <c r="JGW28" s="613">
        <f t="shared" ref="JGW28" si="3505">JGU$28*$C$28</f>
        <v>2.0646315889034252E+19</v>
      </c>
      <c r="JGY28" s="613">
        <f t="shared" ref="JGY28" si="3506">JGW$28*$C$28</f>
        <v>2.0852779047924597E+19</v>
      </c>
      <c r="JHA28" s="613">
        <f t="shared" ref="JHA28" si="3507">JGY$28*$C$28</f>
        <v>2.1061306838403842E+19</v>
      </c>
      <c r="JHC28" s="613">
        <f t="shared" ref="JHC28" si="3508">JHA$28*$C$28</f>
        <v>2.1271919906787881E+19</v>
      </c>
      <c r="JHE28" s="613">
        <f t="shared" ref="JHE28" si="3509">JHC$28*$C$28</f>
        <v>2.1484639105855758E+19</v>
      </c>
      <c r="JHG28" s="613">
        <f t="shared" ref="JHG28" si="3510">JHE$28*$C$28</f>
        <v>2.1699485496914317E+19</v>
      </c>
      <c r="JHI28" s="613">
        <f t="shared" ref="JHI28" si="3511">JHG$28*$C$28</f>
        <v>2.1916480351883461E+19</v>
      </c>
      <c r="JHK28" s="613">
        <f t="shared" ref="JHK28" si="3512">JHI$28*$C$28</f>
        <v>2.2135645155402297E+19</v>
      </c>
      <c r="JHM28" s="613">
        <f t="shared" ref="JHM28" si="3513">JHK$28*$C$28</f>
        <v>2.2357001606956319E+19</v>
      </c>
      <c r="JHO28" s="613">
        <f t="shared" ref="JHO28" si="3514">JHM$28*$C$28</f>
        <v>2.2580571623025881E+19</v>
      </c>
      <c r="JHQ28" s="613">
        <f t="shared" ref="JHQ28" si="3515">JHO$28*$C$28</f>
        <v>2.280637733925614E+19</v>
      </c>
      <c r="JHS28" s="613">
        <f t="shared" ref="JHS28" si="3516">JHQ$28*$C$28</f>
        <v>2.30344411126487E+19</v>
      </c>
      <c r="JHU28" s="613">
        <f t="shared" ref="JHU28" si="3517">JHS$28*$C$28</f>
        <v>2.3264785523775189E+19</v>
      </c>
      <c r="JHW28" s="613">
        <f t="shared" ref="JHW28" si="3518">JHU$28*$C$28</f>
        <v>2.349743337901294E+19</v>
      </c>
      <c r="JHY28" s="613">
        <f t="shared" ref="JHY28" si="3519">JHW$28*$C$28</f>
        <v>2.373240771280307E+19</v>
      </c>
      <c r="JIA28" s="613">
        <f t="shared" ref="JIA28" si="3520">JHY$28*$C$28</f>
        <v>2.3969731789931102E+19</v>
      </c>
      <c r="JIC28" s="613">
        <f t="shared" ref="JIC28" si="3521">JIA$28*$C$28</f>
        <v>2.4209429107830415E+19</v>
      </c>
      <c r="JIE28" s="613">
        <f t="shared" ref="JIE28" si="3522">JIC$28*$C$28</f>
        <v>2.4451523398908719E+19</v>
      </c>
      <c r="JIG28" s="613">
        <f t="shared" ref="JIG28" si="3523">JIE$28*$C$28</f>
        <v>2.4696038632897806E+19</v>
      </c>
      <c r="JII28" s="613">
        <f t="shared" ref="JII28" si="3524">JIG$28*$C$28</f>
        <v>2.4942999019226784E+19</v>
      </c>
      <c r="JIK28" s="613">
        <f t="shared" ref="JIK28" si="3525">JII$28*$C$28</f>
        <v>2.5192429009419051E+19</v>
      </c>
      <c r="JIM28" s="613">
        <f t="shared" ref="JIM28" si="3526">JIK$28*$C$28</f>
        <v>2.5444353299513242E+19</v>
      </c>
      <c r="JIO28" s="613">
        <f t="shared" ref="JIO28" si="3527">JIM$28*$C$28</f>
        <v>2.5698796832508375E+19</v>
      </c>
      <c r="JIQ28" s="613">
        <f t="shared" ref="JIQ28" si="3528">JIO$28*$C$28</f>
        <v>2.5955784800833458E+19</v>
      </c>
      <c r="JIS28" s="613">
        <f t="shared" ref="JIS28" si="3529">JIQ$28*$C$28</f>
        <v>2.6215342648841794E+19</v>
      </c>
      <c r="JIU28" s="613">
        <f t="shared" ref="JIU28" si="3530">JIS$28*$C$28</f>
        <v>2.6477496075330212E+19</v>
      </c>
      <c r="JIW28" s="613">
        <f t="shared" ref="JIW28" si="3531">JIU$28*$C$28</f>
        <v>2.6742271036083515E+19</v>
      </c>
      <c r="JIY28" s="613">
        <f t="shared" ref="JIY28" si="3532">JIW$28*$C$28</f>
        <v>2.7009693746444349E+19</v>
      </c>
      <c r="JJA28" s="613">
        <f t="shared" ref="JJA28" si="3533">JIY$28*$C$28</f>
        <v>2.7279790683908792E+19</v>
      </c>
      <c r="JJC28" s="613">
        <f t="shared" ref="JJC28" si="3534">JJA$28*$C$28</f>
        <v>2.7552588590747881E+19</v>
      </c>
      <c r="JJE28" s="613">
        <f t="shared" ref="JJE28" si="3535">JJC$28*$C$28</f>
        <v>2.7828114476655362E+19</v>
      </c>
      <c r="JJG28" s="613">
        <f t="shared" ref="JJG28" si="3536">JJE$28*$C$28</f>
        <v>2.8106395621421916E+19</v>
      </c>
      <c r="JJI28" s="613">
        <f t="shared" ref="JJI28" si="3537">JJG$28*$C$28</f>
        <v>2.8387459577636135E+19</v>
      </c>
      <c r="JJK28" s="613">
        <f t="shared" ref="JJK28" si="3538">JJI$28*$C$28</f>
        <v>2.8671334173412495E+19</v>
      </c>
      <c r="JJM28" s="613">
        <f t="shared" ref="JJM28" si="3539">JJK$28*$C$28</f>
        <v>2.8958047515146621E+19</v>
      </c>
      <c r="JJO28" s="613">
        <f t="shared" ref="JJO28" si="3540">JJM$28*$C$28</f>
        <v>2.9247627990298087E+19</v>
      </c>
      <c r="JJQ28" s="613">
        <f t="shared" ref="JJQ28" si="3541">JJO$28*$C$28</f>
        <v>2.954010427020107E+19</v>
      </c>
      <c r="JJS28" s="613">
        <f t="shared" ref="JJS28" si="3542">JJQ$28*$C$28</f>
        <v>2.9835505312903082E+19</v>
      </c>
      <c r="JJU28" s="613">
        <f t="shared" ref="JJU28" si="3543">JJS$28*$C$28</f>
        <v>3.0133860366032114E+19</v>
      </c>
      <c r="JJW28" s="613">
        <f t="shared" ref="JJW28" si="3544">JJU$28*$C$28</f>
        <v>3.0435198969692434E+19</v>
      </c>
      <c r="JJY28" s="613">
        <f t="shared" ref="JJY28" si="3545">JJW$28*$C$28</f>
        <v>3.073955095938936E+19</v>
      </c>
      <c r="JKA28" s="613">
        <f t="shared" ref="JKA28" si="3546">JJY$28*$C$28</f>
        <v>3.1046946468983255E+19</v>
      </c>
      <c r="JKC28" s="613">
        <f t="shared" ref="JKC28" si="3547">JKA$28*$C$28</f>
        <v>3.1357415933673087E+19</v>
      </c>
      <c r="JKE28" s="613">
        <f t="shared" ref="JKE28" si="3548">JKC$28*$C$28</f>
        <v>3.1670990093009818E+19</v>
      </c>
      <c r="JKG28" s="613">
        <f t="shared" ref="JKG28" si="3549">JKE$28*$C$28</f>
        <v>3.1987699993939915E+19</v>
      </c>
      <c r="JKI28" s="613">
        <f t="shared" ref="JKI28" si="3550">JKG$28*$C$28</f>
        <v>3.2307576993879314E+19</v>
      </c>
      <c r="JKK28" s="613">
        <f t="shared" ref="JKK28" si="3551">JKI$28*$C$28</f>
        <v>3.2630652763818107E+19</v>
      </c>
      <c r="JKM28" s="613">
        <f t="shared" ref="JKM28" si="3552">JKK$28*$C$28</f>
        <v>3.2956959291456287E+19</v>
      </c>
      <c r="JKO28" s="613">
        <f t="shared" ref="JKO28" si="3553">JKM$28*$C$28</f>
        <v>3.328652888437085E+19</v>
      </c>
      <c r="JKQ28" s="613">
        <f t="shared" ref="JKQ28" si="3554">JKO$28*$C$28</f>
        <v>3.361939417321456E+19</v>
      </c>
      <c r="JKS28" s="613">
        <f t="shared" ref="JKS28" si="3555">JKQ$28*$C$28</f>
        <v>3.3955588114946707E+19</v>
      </c>
      <c r="JKU28" s="613">
        <f t="shared" ref="JKU28" si="3556">JKS$28*$C$28</f>
        <v>3.4295143996096176E+19</v>
      </c>
      <c r="JKW28" s="613">
        <f t="shared" ref="JKW28" si="3557">JKU$28*$C$28</f>
        <v>3.4638095436057137E+19</v>
      </c>
      <c r="JKY28" s="613">
        <f t="shared" ref="JKY28" si="3558">JKW$28*$C$28</f>
        <v>3.4984476390417707E+19</v>
      </c>
      <c r="JLA28" s="613">
        <f t="shared" ref="JLA28" si="3559">JKY$28*$C$28</f>
        <v>3.5334321154321883E+19</v>
      </c>
      <c r="JLC28" s="613">
        <f t="shared" ref="JLC28" si="3560">JLA$28*$C$28</f>
        <v>3.5687664365865103E+19</v>
      </c>
      <c r="JLE28" s="613">
        <f t="shared" ref="JLE28" si="3561">JLC$28*$C$28</f>
        <v>3.6044541009523753E+19</v>
      </c>
      <c r="JLG28" s="613">
        <f t="shared" ref="JLG28" si="3562">JLE$28*$C$28</f>
        <v>3.6404986419618992E+19</v>
      </c>
      <c r="JLI28" s="613">
        <f t="shared" ref="JLI28" si="3563">JLG$28*$C$28</f>
        <v>3.6769036283815182E+19</v>
      </c>
      <c r="JLK28" s="613">
        <f t="shared" ref="JLK28" si="3564">JLI$28*$C$28</f>
        <v>3.7136726646653338E+19</v>
      </c>
      <c r="JLM28" s="613">
        <f t="shared" ref="JLM28" si="3565">JLK$28*$C$28</f>
        <v>3.7508093913119875E+19</v>
      </c>
      <c r="JLO28" s="613">
        <f t="shared" ref="JLO28" si="3566">JLM$28*$C$28</f>
        <v>3.7883174852251075E+19</v>
      </c>
      <c r="JLQ28" s="613">
        <f t="shared" ref="JLQ28" si="3567">JLO$28*$C$28</f>
        <v>3.8262006600773583E+19</v>
      </c>
      <c r="JLS28" s="613">
        <f t="shared" ref="JLS28" si="3568">JLQ$28*$C$28</f>
        <v>3.8644626666781319E+19</v>
      </c>
      <c r="JLU28" s="613">
        <f t="shared" ref="JLU28" si="3569">JLS$28*$C$28</f>
        <v>3.903107293344913E+19</v>
      </c>
      <c r="JLW28" s="613">
        <f t="shared" ref="JLW28" si="3570">JLU$28*$C$28</f>
        <v>3.9421383662783619E+19</v>
      </c>
      <c r="JLY28" s="613">
        <f t="shared" ref="JLY28" si="3571">JLW$28*$C$28</f>
        <v>3.9815597499411456E+19</v>
      </c>
      <c r="JMA28" s="613">
        <f t="shared" ref="JMA28" si="3572">JLY$28*$C$28</f>
        <v>4.0213753474405573E+19</v>
      </c>
      <c r="JMC28" s="613">
        <f t="shared" ref="JMC28" si="3573">JMA$28*$C$28</f>
        <v>4.0615891009149633E+19</v>
      </c>
      <c r="JME28" s="613">
        <f t="shared" ref="JME28" si="3574">JMC$28*$C$28</f>
        <v>4.1022049919241126E+19</v>
      </c>
      <c r="JMG28" s="613">
        <f t="shared" ref="JMG28" si="3575">JME$28*$C$28</f>
        <v>4.143227041843354E+19</v>
      </c>
      <c r="JMI28" s="613">
        <f t="shared" ref="JMI28" si="3576">JMG$28*$C$28</f>
        <v>4.1846593122617876E+19</v>
      </c>
      <c r="JMK28" s="613">
        <f t="shared" ref="JMK28" si="3577">JMI$28*$C$28</f>
        <v>4.2265059053844054E+19</v>
      </c>
      <c r="JMM28" s="613">
        <f t="shared" ref="JMM28" si="3578">JMK$28*$C$28</f>
        <v>4.2687709644382495E+19</v>
      </c>
      <c r="JMO28" s="613">
        <f t="shared" ref="JMO28" si="3579">JMM$28*$C$28</f>
        <v>4.3114586740826317E+19</v>
      </c>
      <c r="JMQ28" s="613">
        <f t="shared" ref="JMQ28" si="3580">JMO$28*$C$28</f>
        <v>4.3545732608234578E+19</v>
      </c>
      <c r="JMS28" s="613">
        <f t="shared" ref="JMS28" si="3581">JMQ$28*$C$28</f>
        <v>4.3981189934316921E+19</v>
      </c>
      <c r="JMU28" s="613">
        <f t="shared" ref="JMU28" si="3582">JMS$28*$C$28</f>
        <v>4.4421001833660088E+19</v>
      </c>
      <c r="JMW28" s="613">
        <f t="shared" ref="JMW28" si="3583">JMU$28*$C$28</f>
        <v>4.4865211851996692E+19</v>
      </c>
      <c r="JMY28" s="613">
        <f t="shared" ref="JMY28" si="3584">JMW$28*$C$28</f>
        <v>4.5313863970516656E+19</v>
      </c>
      <c r="JNA28" s="613">
        <f t="shared" ref="JNA28" si="3585">JMY$28*$C$28</f>
        <v>4.5767002610221826E+19</v>
      </c>
      <c r="JNC28" s="613">
        <f t="shared" ref="JNC28" si="3586">JNA$28*$C$28</f>
        <v>4.6224672636324045E+19</v>
      </c>
      <c r="JNE28" s="613">
        <f t="shared" ref="JNE28" si="3587">JNC$28*$C$28</f>
        <v>4.6686919362687287E+19</v>
      </c>
      <c r="JNG28" s="613">
        <f t="shared" ref="JNG28" si="3588">JNE$28*$C$28</f>
        <v>4.7153788556314157E+19</v>
      </c>
      <c r="JNI28" s="613">
        <f t="shared" ref="JNI28" si="3589">JNG$28*$C$28</f>
        <v>4.7625326441877299E+19</v>
      </c>
      <c r="JNK28" s="613">
        <f t="shared" ref="JNK28" si="3590">JNI$28*$C$28</f>
        <v>4.8101579706296074E+19</v>
      </c>
      <c r="JNM28" s="613">
        <f t="shared" ref="JNM28" si="3591">JNK$28*$C$28</f>
        <v>4.8582595503359033E+19</v>
      </c>
      <c r="JNO28" s="613">
        <f t="shared" ref="JNO28" si="3592">JNM$28*$C$28</f>
        <v>4.9068421458392621E+19</v>
      </c>
      <c r="JNQ28" s="613">
        <f t="shared" ref="JNQ28" si="3593">JNO$28*$C$28</f>
        <v>4.9559105672976548E+19</v>
      </c>
      <c r="JNS28" s="613">
        <f t="shared" ref="JNS28" si="3594">JNQ$28*$C$28</f>
        <v>5.0054696729706316E+19</v>
      </c>
      <c r="JNU28" s="613">
        <f t="shared" ref="JNU28" si="3595">JNS$28*$C$28</f>
        <v>5.0555243697003381E+19</v>
      </c>
      <c r="JNW28" s="613">
        <f t="shared" ref="JNW28" si="3596">JNU$28*$C$28</f>
        <v>5.1060796133973418E+19</v>
      </c>
      <c r="JNY28" s="613">
        <f t="shared" ref="JNY28" si="3597">JNW$28*$C$28</f>
        <v>5.157140409531315E+19</v>
      </c>
      <c r="JOA28" s="613">
        <f t="shared" ref="JOA28" si="3598">JNY$28*$C$28</f>
        <v>5.2087118136266285E+19</v>
      </c>
      <c r="JOC28" s="613">
        <f t="shared" ref="JOC28" si="3599">JOA$28*$C$28</f>
        <v>5.2607989317628944E+19</v>
      </c>
      <c r="JOE28" s="613">
        <f t="shared" ref="JOE28" si="3600">JOC$28*$C$28</f>
        <v>5.3134069210805232E+19</v>
      </c>
      <c r="JOG28" s="613">
        <f t="shared" ref="JOG28" si="3601">JOE$28*$C$28</f>
        <v>5.3665409902913282E+19</v>
      </c>
      <c r="JOI28" s="613">
        <f t="shared" ref="JOI28" si="3602">JOG$28*$C$28</f>
        <v>5.4202064001942413E+19</v>
      </c>
      <c r="JOK28" s="613">
        <f t="shared" ref="JOK28" si="3603">JOI$28*$C$28</f>
        <v>5.4744084641961837E+19</v>
      </c>
      <c r="JOM28" s="613">
        <f t="shared" ref="JOM28" si="3604">JOK$28*$C$28</f>
        <v>5.5291525488381452E+19</v>
      </c>
      <c r="JOO28" s="613">
        <f t="shared" ref="JOO28" si="3605">JOM$28*$C$28</f>
        <v>5.5844440743265264E+19</v>
      </c>
      <c r="JOQ28" s="613">
        <f t="shared" ref="JOQ28" si="3606">JOO$28*$C$28</f>
        <v>5.6402885150697914E+19</v>
      </c>
      <c r="JOS28" s="613">
        <f t="shared" ref="JOS28" si="3607">JOQ$28*$C$28</f>
        <v>5.6966914002204893E+19</v>
      </c>
      <c r="JOU28" s="613">
        <f t="shared" ref="JOU28" si="3608">JOS$28*$C$28</f>
        <v>5.7536583142226944E+19</v>
      </c>
      <c r="JOW28" s="613">
        <f t="shared" ref="JOW28" si="3609">JOU$28*$C$28</f>
        <v>5.8111948973649215E+19</v>
      </c>
      <c r="JOY28" s="613">
        <f t="shared" ref="JOY28" si="3610">JOW$28*$C$28</f>
        <v>5.8693068463385706E+19</v>
      </c>
      <c r="JPA28" s="613">
        <f t="shared" ref="JPA28" si="3611">JOY$28*$C$28</f>
        <v>5.9279999148019565E+19</v>
      </c>
      <c r="JPC28" s="613">
        <f t="shared" ref="JPC28" si="3612">JPA$28*$C$28</f>
        <v>5.9872799139499762E+19</v>
      </c>
      <c r="JPE28" s="613">
        <f t="shared" ref="JPE28" si="3613">JPC$28*$C$28</f>
        <v>6.0471527130894762E+19</v>
      </c>
      <c r="JPG28" s="613">
        <f t="shared" ref="JPG28" si="3614">JPE$28*$C$28</f>
        <v>6.1076242402203714E+19</v>
      </c>
      <c r="JPI28" s="613">
        <f t="shared" ref="JPI28" si="3615">JPG$28*$C$28</f>
        <v>6.1687004826225754E+19</v>
      </c>
      <c r="JPK28" s="613">
        <f t="shared" ref="JPK28" si="3616">JPI$28*$C$28</f>
        <v>6.2303874874488013E+19</v>
      </c>
      <c r="JPM28" s="613">
        <f t="shared" ref="JPM28" si="3617">JPK$28*$C$28</f>
        <v>6.2926913623232897E+19</v>
      </c>
      <c r="JPO28" s="613">
        <f t="shared" ref="JPO28" si="3618">JPM$28*$C$28</f>
        <v>6.355618275946523E+19</v>
      </c>
      <c r="JPQ28" s="613">
        <f t="shared" ref="JPQ28" si="3619">JPO$28*$C$28</f>
        <v>6.419174458705988E+19</v>
      </c>
      <c r="JPS28" s="613">
        <f t="shared" ref="JPS28" si="3620">JPQ$28*$C$28</f>
        <v>6.483366203293048E+19</v>
      </c>
      <c r="JPU28" s="613">
        <f t="shared" ref="JPU28" si="3621">JPS$28*$C$28</f>
        <v>6.5481998653259784E+19</v>
      </c>
      <c r="JPW28" s="613">
        <f t="shared" ref="JPW28" si="3622">JPU$28*$C$28</f>
        <v>6.6136818639792382E+19</v>
      </c>
      <c r="JPY28" s="613">
        <f t="shared" ref="JPY28" si="3623">JPW$28*$C$28</f>
        <v>6.6798186826190307E+19</v>
      </c>
      <c r="JQA28" s="613">
        <f t="shared" ref="JQA28" si="3624">JPY$28*$C$28</f>
        <v>6.7466168694452208E+19</v>
      </c>
      <c r="JQC28" s="613">
        <f t="shared" ref="JQC28" si="3625">JQA$28*$C$28</f>
        <v>6.814083038139673E+19</v>
      </c>
      <c r="JQE28" s="613">
        <f t="shared" ref="JQE28" si="3626">JQC$28*$C$28</f>
        <v>6.8822238685210698E+19</v>
      </c>
      <c r="JQG28" s="613">
        <f t="shared" ref="JQG28" si="3627">JQE$28*$C$28</f>
        <v>6.9510461072062808E+19</v>
      </c>
      <c r="JQI28" s="613">
        <f t="shared" ref="JQI28" si="3628">JQG$28*$C$28</f>
        <v>7.0205565682783437E+19</v>
      </c>
      <c r="JQK28" s="613">
        <f t="shared" ref="JQK28" si="3629">JQI$28*$C$28</f>
        <v>7.0907621339611275E+19</v>
      </c>
      <c r="JQM28" s="613">
        <f t="shared" ref="JQM28" si="3630">JQK$28*$C$28</f>
        <v>7.1616697553007387E+19</v>
      </c>
      <c r="JQO28" s="613">
        <f t="shared" ref="JQO28" si="3631">JQM$28*$C$28</f>
        <v>7.2332864528537461E+19</v>
      </c>
      <c r="JQQ28" s="613">
        <f t="shared" ref="JQQ28" si="3632">JQO$28*$C$28</f>
        <v>7.3056193173822833E+19</v>
      </c>
      <c r="JQS28" s="613">
        <f t="shared" ref="JQS28" si="3633">JQQ$28*$C$28</f>
        <v>7.3786755105561059E+19</v>
      </c>
      <c r="JQU28" s="613">
        <f t="shared" ref="JQU28" si="3634">JQS$28*$C$28</f>
        <v>7.4524622656616677E+19</v>
      </c>
      <c r="JQW28" s="613">
        <f t="shared" ref="JQW28" si="3635">JQU$28*$C$28</f>
        <v>7.5269868883182846E+19</v>
      </c>
      <c r="JQY28" s="613">
        <f t="shared" ref="JQY28" si="3636">JQW$28*$C$28</f>
        <v>7.6022567572014678E+19</v>
      </c>
      <c r="JRA28" s="613">
        <f t="shared" ref="JRA28" si="3637">JQY$28*$C$28</f>
        <v>7.6782793247734825E+19</v>
      </c>
      <c r="JRC28" s="613">
        <f t="shared" ref="JRC28" si="3638">JRA$28*$C$28</f>
        <v>7.7550621180212167E+19</v>
      </c>
      <c r="JRE28" s="613">
        <f t="shared" ref="JRE28" si="3639">JRC$28*$C$28</f>
        <v>7.8326127392014287E+19</v>
      </c>
      <c r="JRG28" s="613">
        <f t="shared" ref="JRG28" si="3640">JRE$28*$C$28</f>
        <v>7.910938866593443E+19</v>
      </c>
      <c r="JRI28" s="613">
        <f t="shared" ref="JRI28" si="3641">JRG$28*$C$28</f>
        <v>7.9900482552593777E+19</v>
      </c>
      <c r="JRK28" s="613">
        <f t="shared" ref="JRK28" si="3642">JRI$28*$C$28</f>
        <v>8.0699487378119721E+19</v>
      </c>
      <c r="JRM28" s="613">
        <f t="shared" ref="JRM28" si="3643">JRK$28*$C$28</f>
        <v>8.1506482251900912E+19</v>
      </c>
      <c r="JRO28" s="613">
        <f t="shared" ref="JRO28" si="3644">JRM$28*$C$28</f>
        <v>8.2321547074419917E+19</v>
      </c>
      <c r="JRQ28" s="613">
        <f t="shared" ref="JRQ28" si="3645">JRO$28*$C$28</f>
        <v>8.3144762545164124E+19</v>
      </c>
      <c r="JRS28" s="613">
        <f t="shared" ref="JRS28" si="3646">JRQ$28*$C$28</f>
        <v>8.3976210170615759E+19</v>
      </c>
      <c r="JRU28" s="613">
        <f t="shared" ref="JRU28" si="3647">JRS$28*$C$28</f>
        <v>8.4815972272321921E+19</v>
      </c>
      <c r="JRW28" s="613">
        <f t="shared" ref="JRW28" si="3648">JRU$28*$C$28</f>
        <v>8.5664131995045134E+19</v>
      </c>
      <c r="JRY28" s="613">
        <f t="shared" ref="JRY28" si="3649">JRW$28*$C$28</f>
        <v>8.6520773314995585E+19</v>
      </c>
      <c r="JSA28" s="613">
        <f t="shared" ref="JSA28" si="3650">JRY$28*$C$28</f>
        <v>8.7385981048145543E+19</v>
      </c>
      <c r="JSC28" s="613">
        <f t="shared" ref="JSC28" si="3651">JSA$28*$C$28</f>
        <v>8.8259840858626998E+19</v>
      </c>
      <c r="JSE28" s="613">
        <f t="shared" ref="JSE28" si="3652">JSC$28*$C$28</f>
        <v>8.9142439267213263E+19</v>
      </c>
      <c r="JSG28" s="613">
        <f t="shared" ref="JSG28" si="3653">JSE$28*$C$28</f>
        <v>9.0033863659885396E+19</v>
      </c>
      <c r="JSI28" s="613">
        <f t="shared" ref="JSI28" si="3654">JSG$28*$C$28</f>
        <v>9.093420229648425E+19</v>
      </c>
      <c r="JSK28" s="613">
        <f t="shared" ref="JSK28" si="3655">JSI$28*$C$28</f>
        <v>9.1843544319449088E+19</v>
      </c>
      <c r="JSM28" s="613">
        <f t="shared" ref="JSM28" si="3656">JSK$28*$C$28</f>
        <v>9.2761979762643583E+19</v>
      </c>
      <c r="JSO28" s="613">
        <f t="shared" ref="JSO28" si="3657">JSM$28*$C$28</f>
        <v>9.3689599560270021E+19</v>
      </c>
      <c r="JSQ28" s="613">
        <f t="shared" ref="JSQ28" si="3658">JSO$28*$C$28</f>
        <v>9.4626495555872719E+19</v>
      </c>
      <c r="JSS28" s="613">
        <f t="shared" ref="JSS28" si="3659">JSQ$28*$C$28</f>
        <v>9.5572760511431442E+19</v>
      </c>
      <c r="JSU28" s="613">
        <f t="shared" ref="JSU28" si="3660">JSS$28*$C$28</f>
        <v>9.6528488116545765E+19</v>
      </c>
      <c r="JSW28" s="613">
        <f t="shared" ref="JSW28" si="3661">JSU$28*$C$28</f>
        <v>9.7493772997711217E+19</v>
      </c>
      <c r="JSY28" s="613">
        <f t="shared" ref="JSY28" si="3662">JSW$28*$C$28</f>
        <v>9.8468710727688323E+19</v>
      </c>
      <c r="JTA28" s="613">
        <f t="shared" ref="JTA28" si="3663">JSY$28*$C$28</f>
        <v>9.9453397834965205E+19</v>
      </c>
      <c r="JTC28" s="613">
        <f t="shared" ref="JTC28" si="3664">JTA$28*$C$28</f>
        <v>1.0044793181331485E+20</v>
      </c>
      <c r="JTE28" s="613">
        <f t="shared" ref="JTE28" si="3665">JTC$28*$C$28</f>
        <v>1.01452411131448E+20</v>
      </c>
      <c r="JTG28" s="613">
        <f t="shared" ref="JTG28" si="3666">JTE$28*$C$28</f>
        <v>1.0246693524276249E+20</v>
      </c>
      <c r="JTI28" s="613">
        <f t="shared" ref="JTI28" si="3667">JTG$28*$C$28</f>
        <v>1.034916045951901E+20</v>
      </c>
      <c r="JTK28" s="613">
        <f t="shared" ref="JTK28" si="3668">JTI$28*$C$28</f>
        <v>1.0452652064114201E+20</v>
      </c>
      <c r="JTM28" s="613">
        <f t="shared" ref="JTM28" si="3669">JTK$28*$C$28</f>
        <v>1.0557178584755344E+20</v>
      </c>
      <c r="JTO28" s="613">
        <f t="shared" ref="JTO28" si="3670">JTM$28*$C$28</f>
        <v>1.0662750370602898E+20</v>
      </c>
      <c r="JTQ28" s="613">
        <f t="shared" ref="JTQ28" si="3671">JTO$28*$C$28</f>
        <v>1.0769377874308927E+20</v>
      </c>
      <c r="JTS28" s="613">
        <f t="shared" ref="JTS28" si="3672">JTQ$28*$C$28</f>
        <v>1.0877071653052016E+20</v>
      </c>
      <c r="JTU28" s="613">
        <f t="shared" ref="JTU28" si="3673">JTS$28*$C$28</f>
        <v>1.0985842369582537E+20</v>
      </c>
      <c r="JTW28" s="613">
        <f t="shared" ref="JTW28" si="3674">JTU$28*$C$28</f>
        <v>1.1095700793278362E+20</v>
      </c>
      <c r="JTY28" s="613">
        <f t="shared" ref="JTY28" si="3675">JTW$28*$C$28</f>
        <v>1.1206657801211145E+20</v>
      </c>
      <c r="JUA28" s="613">
        <f t="shared" ref="JUA28" si="3676">JTY$28*$C$28</f>
        <v>1.1318724379223256E+20</v>
      </c>
      <c r="JUC28" s="613">
        <f t="shared" ref="JUC28" si="3677">JUA$28*$C$28</f>
        <v>1.143191162301549E+20</v>
      </c>
      <c r="JUE28" s="613">
        <f t="shared" ref="JUE28" si="3678">JUC$28*$C$28</f>
        <v>1.1546230739245644E+20</v>
      </c>
      <c r="JUG28" s="613">
        <f t="shared" ref="JUG28" si="3679">JUE$28*$C$28</f>
        <v>1.16616930466381E+20</v>
      </c>
      <c r="JUI28" s="613">
        <f t="shared" ref="JUI28" si="3680">JUG$28*$C$28</f>
        <v>1.1778309977104482E+20</v>
      </c>
      <c r="JUK28" s="613">
        <f t="shared" ref="JUK28" si="3681">JUI$28*$C$28</f>
        <v>1.1896093076875528E+20</v>
      </c>
      <c r="JUM28" s="613">
        <f t="shared" ref="JUM28" si="3682">JUK$28*$C$28</f>
        <v>1.2015054007644283E+20</v>
      </c>
      <c r="JUO28" s="613">
        <f t="shared" ref="JUO28" si="3683">JUM$28*$C$28</f>
        <v>1.2135204547720726E+20</v>
      </c>
      <c r="JUQ28" s="613">
        <f t="shared" ref="JUQ28" si="3684">JUO$28*$C$28</f>
        <v>1.2256556593197934E+20</v>
      </c>
      <c r="JUS28" s="613">
        <f t="shared" ref="JUS28" si="3685">JUQ$28*$C$28</f>
        <v>1.2379122159129913E+20</v>
      </c>
      <c r="JUU28" s="613">
        <f t="shared" ref="JUU28" si="3686">JUS$28*$C$28</f>
        <v>1.2502913380721212E+20</v>
      </c>
      <c r="JUW28" s="613">
        <f t="shared" ref="JUW28" si="3687">JUU$28*$C$28</f>
        <v>1.2627942514528425E+20</v>
      </c>
      <c r="JUY28" s="613">
        <f t="shared" ref="JUY28" si="3688">JUW$28*$C$28</f>
        <v>1.2754221939673709E+20</v>
      </c>
      <c r="JVA28" s="613">
        <f t="shared" ref="JVA28" si="3689">JUY$28*$C$28</f>
        <v>1.2881764159070446E+20</v>
      </c>
      <c r="JVC28" s="613">
        <f t="shared" ref="JVC28" si="3690">JVA$28*$C$28</f>
        <v>1.3010581800661151E+20</v>
      </c>
      <c r="JVE28" s="613">
        <f t="shared" ref="JVE28" si="3691">JVC$28*$C$28</f>
        <v>1.3140687618667762E+20</v>
      </c>
      <c r="JVG28" s="613">
        <f t="shared" ref="JVG28" si="3692">JVE$28*$C$28</f>
        <v>1.3272094494854441E+20</v>
      </c>
      <c r="JVI28" s="613">
        <f t="shared" ref="JVI28" si="3693">JVG$28*$C$28</f>
        <v>1.3404815439802986E+20</v>
      </c>
      <c r="JVK28" s="613">
        <f t="shared" ref="JVK28" si="3694">JVI$28*$C$28</f>
        <v>1.3538863594201016E+20</v>
      </c>
      <c r="JVM28" s="613">
        <f t="shared" ref="JVM28" si="3695">JVK$28*$C$28</f>
        <v>1.3674252230143027E+20</v>
      </c>
      <c r="JVO28" s="613">
        <f t="shared" ref="JVO28" si="3696">JVM$28*$C$28</f>
        <v>1.3810994752444457E+20</v>
      </c>
      <c r="JVQ28" s="613">
        <f t="shared" ref="JVQ28" si="3697">JVO$28*$C$28</f>
        <v>1.3949104699968902E+20</v>
      </c>
      <c r="JVS28" s="613">
        <f t="shared" ref="JVS28" si="3698">JVQ$28*$C$28</f>
        <v>1.4088595746968591E+20</v>
      </c>
      <c r="JVU28" s="613">
        <f t="shared" ref="JVU28" si="3699">JVS$28*$C$28</f>
        <v>1.4229481704438276E+20</v>
      </c>
      <c r="JVW28" s="613">
        <f t="shared" ref="JVW28" si="3700">JVU$28*$C$28</f>
        <v>1.4371776521482659E+20</v>
      </c>
      <c r="JVY28" s="613">
        <f t="shared" ref="JVY28" si="3701">JVW$28*$C$28</f>
        <v>1.4515494286697487E+20</v>
      </c>
      <c r="JWA28" s="613">
        <f t="shared" ref="JWA28" si="3702">JVY$28*$C$28</f>
        <v>1.4660649229564461E+20</v>
      </c>
      <c r="JWC28" s="613">
        <f t="shared" ref="JWC28" si="3703">JWA$28*$C$28</f>
        <v>1.4807255721860104E+20</v>
      </c>
      <c r="JWE28" s="613">
        <f t="shared" ref="JWE28" si="3704">JWC$28*$C$28</f>
        <v>1.4955328279078706E+20</v>
      </c>
      <c r="JWG28" s="613">
        <f t="shared" ref="JWG28" si="3705">JWE$28*$C$28</f>
        <v>1.5104881561869494E+20</v>
      </c>
      <c r="JWI28" s="613">
        <f t="shared" ref="JWI28" si="3706">JWG$28*$C$28</f>
        <v>1.5255930377488187E+20</v>
      </c>
      <c r="JWK28" s="613">
        <f t="shared" ref="JWK28" si="3707">JWI$28*$C$28</f>
        <v>1.540848968126307E+20</v>
      </c>
      <c r="JWM28" s="613">
        <f t="shared" ref="JWM28" si="3708">JWK$28*$C$28</f>
        <v>1.55625745780757E+20</v>
      </c>
      <c r="JWO28" s="613">
        <f t="shared" ref="JWO28" si="3709">JWM$28*$C$28</f>
        <v>1.5718200323856456E+20</v>
      </c>
      <c r="JWQ28" s="613">
        <f t="shared" ref="JWQ28" si="3710">JWO$28*$C$28</f>
        <v>1.5875382327095021E+20</v>
      </c>
      <c r="JWS28" s="613">
        <f t="shared" ref="JWS28" si="3711">JWQ$28*$C$28</f>
        <v>1.6034136150365972E+20</v>
      </c>
      <c r="JWU28" s="613">
        <f t="shared" ref="JWU28" si="3712">JWS$28*$C$28</f>
        <v>1.6194477511869632E+20</v>
      </c>
      <c r="JWW28" s="613">
        <f t="shared" ref="JWW28" si="3713">JWU$28*$C$28</f>
        <v>1.6356422286988329E+20</v>
      </c>
      <c r="JWY28" s="613">
        <f t="shared" ref="JWY28" si="3714">JWW$28*$C$28</f>
        <v>1.6519986509858213E+20</v>
      </c>
      <c r="JXA28" s="613">
        <f t="shared" ref="JXA28" si="3715">JWY$28*$C$28</f>
        <v>1.6685186374956794E+20</v>
      </c>
      <c r="JXC28" s="613">
        <f t="shared" ref="JXC28" si="3716">JXA$28*$C$28</f>
        <v>1.6852038238706362E+20</v>
      </c>
      <c r="JXE28" s="613">
        <f t="shared" ref="JXE28" si="3717">JXC$28*$C$28</f>
        <v>1.7020558621093426E+20</v>
      </c>
      <c r="JXG28" s="613">
        <f t="shared" ref="JXG28" si="3718">JXE$28*$C$28</f>
        <v>1.719076420730436E+20</v>
      </c>
      <c r="JXI28" s="613">
        <f t="shared" ref="JXI28" si="3719">JXG$28*$C$28</f>
        <v>1.7362671849377402E+20</v>
      </c>
      <c r="JXK28" s="613">
        <f t="shared" ref="JXK28" si="3720">JXI$28*$C$28</f>
        <v>1.7536298567871175E+20</v>
      </c>
      <c r="JXM28" s="613">
        <f t="shared" ref="JXM28" si="3721">JXK$28*$C$28</f>
        <v>1.7711661553549885E+20</v>
      </c>
      <c r="JXO28" s="613">
        <f t="shared" ref="JXO28" si="3722">JXM$28*$C$28</f>
        <v>1.7888778169085385E+20</v>
      </c>
      <c r="JXQ28" s="613">
        <f t="shared" ref="JXQ28" si="3723">JXO$28*$C$28</f>
        <v>1.806766595077624E+20</v>
      </c>
      <c r="JXS28" s="613">
        <f t="shared" ref="JXS28" si="3724">JXQ$28*$C$28</f>
        <v>1.8248342610284003E+20</v>
      </c>
      <c r="JXU28" s="613">
        <f t="shared" ref="JXU28" si="3725">JXS$28*$C$28</f>
        <v>1.8430826036386844E+20</v>
      </c>
      <c r="JXW28" s="613">
        <f t="shared" ref="JXW28" si="3726">JXU$28*$C$28</f>
        <v>1.8615134296750712E+20</v>
      </c>
      <c r="JXY28" s="613">
        <f t="shared" ref="JXY28" si="3727">JXW$28*$C$28</f>
        <v>1.8801285639718221E+20</v>
      </c>
      <c r="JYA28" s="613">
        <f t="shared" ref="JYA28" si="3728">JXY$28*$C$28</f>
        <v>1.8989298496115402E+20</v>
      </c>
      <c r="JYC28" s="613">
        <f t="shared" ref="JYC28" si="3729">JYA$28*$C$28</f>
        <v>1.9179191481076557E+20</v>
      </c>
      <c r="JYE28" s="613">
        <f t="shared" ref="JYE28" si="3730">JYC$28*$C$28</f>
        <v>1.9370983395887324E+20</v>
      </c>
      <c r="JYG28" s="613">
        <f t="shared" ref="JYG28" si="3731">JYE$28*$C$28</f>
        <v>1.9564693229846197E+20</v>
      </c>
      <c r="JYI28" s="613">
        <f t="shared" ref="JYI28" si="3732">JYG$28*$C$28</f>
        <v>1.9760340162144659E+20</v>
      </c>
      <c r="JYK28" s="613">
        <f t="shared" ref="JYK28" si="3733">JYI$28*$C$28</f>
        <v>1.9957943563766107E+20</v>
      </c>
      <c r="JYM28" s="613">
        <f t="shared" ref="JYM28" si="3734">JYK$28*$C$28</f>
        <v>2.0157522999403767E+20</v>
      </c>
      <c r="JYO28" s="613">
        <f t="shared" ref="JYO28" si="3735">JYM$28*$C$28</f>
        <v>2.0359098229397805E+20</v>
      </c>
      <c r="JYQ28" s="613">
        <f t="shared" ref="JYQ28" si="3736">JYO$28*$C$28</f>
        <v>2.0562689211691785E+20</v>
      </c>
      <c r="JYS28" s="613">
        <f t="shared" ref="JYS28" si="3737">JYQ$28*$C$28</f>
        <v>2.0768316103808703E+20</v>
      </c>
      <c r="JYU28" s="613">
        <f t="shared" ref="JYU28" si="3738">JYS$28*$C$28</f>
        <v>2.0975999264846791E+20</v>
      </c>
      <c r="JYW28" s="613">
        <f t="shared" ref="JYW28" si="3739">JYU$28*$C$28</f>
        <v>2.118575925749526E+20</v>
      </c>
      <c r="JYY28" s="613">
        <f t="shared" ref="JYY28" si="3740">JYW$28*$C$28</f>
        <v>2.1397616850070212E+20</v>
      </c>
      <c r="JZA28" s="613">
        <f t="shared" ref="JZA28" si="3741">JYY$28*$C$28</f>
        <v>2.1611593018570913E+20</v>
      </c>
      <c r="JZC28" s="613">
        <f t="shared" ref="JZC28" si="3742">JZA$28*$C$28</f>
        <v>2.1827708948756621E+20</v>
      </c>
      <c r="JZE28" s="613">
        <f t="shared" ref="JZE28" si="3743">JZC$28*$C$28</f>
        <v>2.2045986038244187E+20</v>
      </c>
      <c r="JZG28" s="613">
        <f t="shared" ref="JZG28" si="3744">JZE$28*$C$28</f>
        <v>2.226644589862663E+20</v>
      </c>
      <c r="JZI28" s="613">
        <f t="shared" ref="JZI28" si="3745">JZG$28*$C$28</f>
        <v>2.2489110357612895E+20</v>
      </c>
      <c r="JZK28" s="613">
        <f t="shared" ref="JZK28" si="3746">JZI$28*$C$28</f>
        <v>2.2714001461189024E+20</v>
      </c>
      <c r="JZM28" s="613">
        <f t="shared" ref="JZM28" si="3747">JZK$28*$C$28</f>
        <v>2.2941141475800914E+20</v>
      </c>
      <c r="JZO28" s="613">
        <f t="shared" ref="JZO28" si="3748">JZM$28*$C$28</f>
        <v>2.3170552890558923E+20</v>
      </c>
      <c r="JZQ28" s="613">
        <f t="shared" ref="JZQ28" si="3749">JZO$28*$C$28</f>
        <v>2.3402258419464513E+20</v>
      </c>
      <c r="JZS28" s="613">
        <f t="shared" ref="JZS28" si="3750">JZQ$28*$C$28</f>
        <v>2.3636281003659159E+20</v>
      </c>
      <c r="JZU28" s="613">
        <f t="shared" ref="JZU28" si="3751">JZS$28*$C$28</f>
        <v>2.387264381369575E+20</v>
      </c>
      <c r="JZW28" s="613">
        <f t="shared" ref="JZW28" si="3752">JZU$28*$C$28</f>
        <v>2.4111370251832708E+20</v>
      </c>
      <c r="JZY28" s="613">
        <f t="shared" ref="JZY28" si="3753">JZW$28*$C$28</f>
        <v>2.4352483954351037E+20</v>
      </c>
      <c r="KAA28" s="613">
        <f t="shared" ref="KAA28" si="3754">JZY$28*$C$28</f>
        <v>2.4596008793894548E+20</v>
      </c>
      <c r="KAC28" s="613">
        <f t="shared" ref="KAC28" si="3755">KAA$28*$C$28</f>
        <v>2.4841968881833492E+20</v>
      </c>
      <c r="KAE28" s="613">
        <f t="shared" ref="KAE28" si="3756">KAC$28*$C$28</f>
        <v>2.5090388570651827E+20</v>
      </c>
      <c r="KAG28" s="613">
        <f t="shared" ref="KAG28" si="3757">KAE$28*$C$28</f>
        <v>2.5341292456358343E+20</v>
      </c>
      <c r="KAI28" s="613">
        <f t="shared" ref="KAI28" si="3758">KAG$28*$C$28</f>
        <v>2.5594705380921927E+20</v>
      </c>
      <c r="KAK28" s="613">
        <f t="shared" ref="KAK28" si="3759">KAI$28*$C$28</f>
        <v>2.5850652434731146E+20</v>
      </c>
      <c r="KAM28" s="613">
        <f t="shared" ref="KAM28" si="3760">KAK$28*$C$28</f>
        <v>2.6109158959078457E+20</v>
      </c>
      <c r="KAO28" s="613">
        <f t="shared" ref="KAO28" si="3761">KAM$28*$C$28</f>
        <v>2.6370250548669242E+20</v>
      </c>
      <c r="KAQ28" s="613">
        <f t="shared" ref="KAQ28" si="3762">KAO$28*$C$28</f>
        <v>2.6633953054155935E+20</v>
      </c>
      <c r="KAS28" s="613">
        <f t="shared" ref="KAS28" si="3763">KAQ$28*$C$28</f>
        <v>2.6900292584697496E+20</v>
      </c>
      <c r="KAU28" s="613">
        <f t="shared" ref="KAU28" si="3764">KAS$28*$C$28</f>
        <v>2.7169295510544469E+20</v>
      </c>
      <c r="KAW28" s="613">
        <f t="shared" ref="KAW28" si="3765">KAU$28*$C$28</f>
        <v>2.7440988465649913E+20</v>
      </c>
      <c r="KAY28" s="613">
        <f t="shared" ref="KAY28" si="3766">KAW$28*$C$28</f>
        <v>2.7715398350306414E+20</v>
      </c>
      <c r="KBA28" s="613">
        <f t="shared" ref="KBA28" si="3767">KAY$28*$C$28</f>
        <v>2.7992552333809477E+20</v>
      </c>
      <c r="KBC28" s="613">
        <f t="shared" ref="KBC28" si="3768">KBA$28*$C$28</f>
        <v>2.8272477857147571E+20</v>
      </c>
      <c r="KBE28" s="613">
        <f t="shared" ref="KBE28" si="3769">KBC$28*$C$28</f>
        <v>2.8555202635719046E+20</v>
      </c>
      <c r="KBG28" s="613">
        <f t="shared" ref="KBG28" si="3770">KBE$28*$C$28</f>
        <v>2.8840754662076236E+20</v>
      </c>
      <c r="KBI28" s="613">
        <f t="shared" ref="KBI28" si="3771">KBG$28*$C$28</f>
        <v>2.9129162208696998E+20</v>
      </c>
      <c r="KBK28" s="613">
        <f t="shared" ref="KBK28" si="3772">KBI$28*$C$28</f>
        <v>2.9420453830783969E+20</v>
      </c>
      <c r="KBM28" s="613">
        <f t="shared" ref="KBM28" si="3773">KBK$28*$C$28</f>
        <v>2.971465836909181E+20</v>
      </c>
      <c r="KBO28" s="613">
        <f t="shared" ref="KBO28" si="3774">KBM$28*$C$28</f>
        <v>3.0011804952782727E+20</v>
      </c>
      <c r="KBQ28" s="613">
        <f t="shared" ref="KBQ28" si="3775">KBO$28*$C$28</f>
        <v>3.0311923002310551E+20</v>
      </c>
      <c r="KBS28" s="613">
        <f t="shared" ref="KBS28" si="3776">KBQ$28*$C$28</f>
        <v>3.0615042232333658E+20</v>
      </c>
      <c r="KBU28" s="613">
        <f t="shared" ref="KBU28" si="3777">KBS$28*$C$28</f>
        <v>3.0921192654656995E+20</v>
      </c>
      <c r="KBW28" s="613">
        <f t="shared" ref="KBW28" si="3778">KBU$28*$C$28</f>
        <v>3.1230404581203568E+20</v>
      </c>
      <c r="KBY28" s="613">
        <f t="shared" ref="KBY28" si="3779">KBW$28*$C$28</f>
        <v>3.1542708627015605E+20</v>
      </c>
      <c r="KCA28" s="613">
        <f t="shared" ref="KCA28" si="3780">KBY$28*$C$28</f>
        <v>3.1858135713285761E+20</v>
      </c>
      <c r="KCC28" s="613">
        <f t="shared" ref="KCC28" si="3781">KCA$28*$C$28</f>
        <v>3.2176717070418621E+20</v>
      </c>
      <c r="KCE28" s="613">
        <f t="shared" ref="KCE28" si="3782">KCC$28*$C$28</f>
        <v>3.2498484241122807E+20</v>
      </c>
      <c r="KCG28" s="613">
        <f t="shared" ref="KCG28" si="3783">KCE$28*$C$28</f>
        <v>3.2823469083534033E+20</v>
      </c>
      <c r="KCI28" s="613">
        <f t="shared" ref="KCI28" si="3784">KCG$28*$C$28</f>
        <v>3.3151703774369376E+20</v>
      </c>
      <c r="KCK28" s="613">
        <f t="shared" ref="KCK28" si="3785">KCI$28*$C$28</f>
        <v>3.3483220812113071E+20</v>
      </c>
      <c r="KCM28" s="613">
        <f t="shared" ref="KCM28" si="3786">KCK$28*$C$28</f>
        <v>3.38180530202342E+20</v>
      </c>
      <c r="KCO28" s="613">
        <f t="shared" ref="KCO28" si="3787">KCM$28*$C$28</f>
        <v>3.4156233550436545E+20</v>
      </c>
      <c r="KCQ28" s="613">
        <f t="shared" ref="KCQ28" si="3788">KCO$28*$C$28</f>
        <v>3.4497795885940913E+20</v>
      </c>
      <c r="KCS28" s="613">
        <f t="shared" ref="KCS28" si="3789">KCQ$28*$C$28</f>
        <v>3.484277384480032E+20</v>
      </c>
      <c r="KCU28" s="613">
        <f t="shared" ref="KCU28" si="3790">KCS$28*$C$28</f>
        <v>3.5191201583248323E+20</v>
      </c>
      <c r="KCW28" s="613">
        <f t="shared" ref="KCW28" si="3791">KCU$28*$C$28</f>
        <v>3.5543113599080805E+20</v>
      </c>
      <c r="KCY28" s="613">
        <f t="shared" ref="KCY28" si="3792">KCW$28*$C$28</f>
        <v>3.5898544735071614E+20</v>
      </c>
      <c r="KDA28" s="613">
        <f t="shared" ref="KDA28" si="3793">KCY$28*$C$28</f>
        <v>3.6257530182422331E+20</v>
      </c>
      <c r="KDC28" s="613">
        <f t="shared" ref="KDC28" si="3794">KDA$28*$C$28</f>
        <v>3.6620105484246555E+20</v>
      </c>
      <c r="KDE28" s="613">
        <f t="shared" ref="KDE28" si="3795">KDC$28*$C$28</f>
        <v>3.6986306539089022E+20</v>
      </c>
      <c r="KDG28" s="613">
        <f t="shared" ref="KDG28" si="3796">KDE$28*$C$28</f>
        <v>3.735616960447991E+20</v>
      </c>
      <c r="KDI28" s="613">
        <f t="shared" ref="KDI28" si="3797">KDG$28*$C$28</f>
        <v>3.7729731300524707E+20</v>
      </c>
      <c r="KDK28" s="613">
        <f t="shared" ref="KDK28" si="3798">KDI$28*$C$28</f>
        <v>3.8107028613529954E+20</v>
      </c>
      <c r="KDM28" s="613">
        <f t="shared" ref="KDM28" si="3799">KDK$28*$C$28</f>
        <v>3.8488098899665256E+20</v>
      </c>
      <c r="KDO28" s="613">
        <f t="shared" ref="KDO28" si="3800">KDM$28*$C$28</f>
        <v>3.8872979888661909E+20</v>
      </c>
      <c r="KDQ28" s="613">
        <f t="shared" ref="KDQ28" si="3801">KDO$28*$C$28</f>
        <v>3.926170968754853E+20</v>
      </c>
      <c r="KDS28" s="613">
        <f t="shared" ref="KDS28" si="3802">KDQ$28*$C$28</f>
        <v>3.9654326784424018E+20</v>
      </c>
      <c r="KDU28" s="613">
        <f t="shared" ref="KDU28" si="3803">KDS$28*$C$28</f>
        <v>4.0050870052268258E+20</v>
      </c>
      <c r="KDW28" s="613">
        <f t="shared" ref="KDW28" si="3804">KDU$28*$C$28</f>
        <v>4.0451378752790941E+20</v>
      </c>
      <c r="KDY28" s="613">
        <f t="shared" ref="KDY28" si="3805">KDW$28*$C$28</f>
        <v>4.0855892540318849E+20</v>
      </c>
      <c r="KEA28" s="613">
        <f t="shared" ref="KEA28" si="3806">KDY$28*$C$28</f>
        <v>4.1264451465722036E+20</v>
      </c>
      <c r="KEC28" s="613">
        <f t="shared" ref="KEC28" si="3807">KEA$28*$C$28</f>
        <v>4.1677095980379256E+20</v>
      </c>
      <c r="KEE28" s="613">
        <f t="shared" ref="KEE28" si="3808">KEC$28*$C$28</f>
        <v>4.2093866940183046E+20</v>
      </c>
      <c r="KEG28" s="613">
        <f t="shared" ref="KEG28" si="3809">KEE$28*$C$28</f>
        <v>4.2514805609584879E+20</v>
      </c>
      <c r="KEI28" s="613">
        <f t="shared" ref="KEI28" si="3810">KEG$28*$C$28</f>
        <v>4.293995366568073E+20</v>
      </c>
      <c r="KEK28" s="613">
        <f t="shared" ref="KEK28" si="3811">KEI$28*$C$28</f>
        <v>4.336935320233754E+20</v>
      </c>
      <c r="KEM28" s="613">
        <f t="shared" ref="KEM28" si="3812">KEK$28*$C$28</f>
        <v>4.3803046734360917E+20</v>
      </c>
      <c r="KEO28" s="613">
        <f t="shared" ref="KEO28" si="3813">KEM$28*$C$28</f>
        <v>4.4241077201704524E+20</v>
      </c>
      <c r="KEQ28" s="613">
        <f t="shared" ref="KEQ28" si="3814">KEO$28*$C$28</f>
        <v>4.4683487973721571E+20</v>
      </c>
      <c r="KES28" s="613">
        <f t="shared" ref="KES28" si="3815">KEQ$28*$C$28</f>
        <v>4.5130322853458785E+20</v>
      </c>
      <c r="KEU28" s="613">
        <f t="shared" ref="KEU28" si="3816">KES$28*$C$28</f>
        <v>4.5581626081993372E+20</v>
      </c>
      <c r="KEW28" s="613">
        <f t="shared" ref="KEW28" si="3817">KEU$28*$C$28</f>
        <v>4.6037442342813309E+20</v>
      </c>
      <c r="KEY28" s="613">
        <f t="shared" ref="KEY28" si="3818">KEW$28*$C$28</f>
        <v>4.649781676624144E+20</v>
      </c>
      <c r="KFA28" s="613">
        <f t="shared" ref="KFA28" si="3819">KEY$28*$C$28</f>
        <v>4.6962794933903852E+20</v>
      </c>
      <c r="KFC28" s="613">
        <f t="shared" ref="KFC28" si="3820">KFA$28*$C$28</f>
        <v>4.7432422883242888E+20</v>
      </c>
      <c r="KFE28" s="613">
        <f t="shared" ref="KFE28" si="3821">KFC$28*$C$28</f>
        <v>4.7906747112075316E+20</v>
      </c>
      <c r="KFG28" s="613">
        <f t="shared" ref="KFG28" si="3822">KFE$28*$C$28</f>
        <v>4.8385814583196071E+20</v>
      </c>
      <c r="KFI28" s="613">
        <f t="shared" ref="KFI28" si="3823">KFG$28*$C$28</f>
        <v>4.8869672729028035E+20</v>
      </c>
      <c r="KFK28" s="613">
        <f t="shared" ref="KFK28" si="3824">KFI$28*$C$28</f>
        <v>4.9358369456318317E+20</v>
      </c>
      <c r="KFM28" s="613">
        <f t="shared" ref="KFM28" si="3825">KFK$28*$C$28</f>
        <v>4.9851953150881497E+20</v>
      </c>
      <c r="KFO28" s="613">
        <f t="shared" ref="KFO28" si="3826">KFM$28*$C$28</f>
        <v>5.035047268239031E+20</v>
      </c>
      <c r="KFQ28" s="613">
        <f t="shared" ref="KFQ28" si="3827">KFO$28*$C$28</f>
        <v>5.0853977409214212E+20</v>
      </c>
      <c r="KFS28" s="613">
        <f t="shared" ref="KFS28" si="3828">KFQ$28*$C$28</f>
        <v>5.1362517183306354E+20</v>
      </c>
      <c r="KFU28" s="613">
        <f t="shared" ref="KFU28" si="3829">KFS$28*$C$28</f>
        <v>5.1876142355139415E+20</v>
      </c>
      <c r="KFW28" s="613">
        <f t="shared" ref="KFW28" si="3830">KFU$28*$C$28</f>
        <v>5.2394903778690813E+20</v>
      </c>
      <c r="KFY28" s="613">
        <f t="shared" ref="KFY28" si="3831">KFW$28*$C$28</f>
        <v>5.2918852816477723E+20</v>
      </c>
      <c r="KGA28" s="613">
        <f t="shared" ref="KGA28" si="3832">KFY$28*$C$28</f>
        <v>5.3448041344642502E+20</v>
      </c>
      <c r="KGC28" s="613">
        <f t="shared" ref="KGC28" si="3833">KGA$28*$C$28</f>
        <v>5.3982521758088928E+20</v>
      </c>
      <c r="KGE28" s="613">
        <f t="shared" ref="KGE28" si="3834">KGC$28*$C$28</f>
        <v>5.452234697566982E+20</v>
      </c>
      <c r="KGG28" s="613">
        <f t="shared" ref="KGG28" si="3835">KGE$28*$C$28</f>
        <v>5.5067570445426518E+20</v>
      </c>
      <c r="KGI28" s="613">
        <f t="shared" ref="KGI28" si="3836">KGG$28*$C$28</f>
        <v>5.5618246149880781E+20</v>
      </c>
      <c r="KGK28" s="613">
        <f t="shared" ref="KGK28" si="3837">KGI$28*$C$28</f>
        <v>5.6174428611379587E+20</v>
      </c>
      <c r="KGM28" s="613">
        <f t="shared" ref="KGM28" si="3838">KGK$28*$C$28</f>
        <v>5.6736172897493385E+20</v>
      </c>
      <c r="KGO28" s="613">
        <f t="shared" ref="KGO28" si="3839">KGM$28*$C$28</f>
        <v>5.7303534626468318E+20</v>
      </c>
      <c r="KGQ28" s="613">
        <f t="shared" ref="KGQ28" si="3840">KGO$28*$C$28</f>
        <v>5.7876569972733005E+20</v>
      </c>
      <c r="KGS28" s="613">
        <f t="shared" ref="KGS28" si="3841">KGQ$28*$C$28</f>
        <v>5.8455335672460339E+20</v>
      </c>
      <c r="KGU28" s="613">
        <f t="shared" ref="KGU28" si="3842">KGS$28*$C$28</f>
        <v>5.9039889029184946E+20</v>
      </c>
      <c r="KGW28" s="613">
        <f t="shared" ref="KGW28" si="3843">KGU$28*$C$28</f>
        <v>5.9630287919476795E+20</v>
      </c>
      <c r="KGY28" s="613">
        <f t="shared" ref="KGY28" si="3844">KGW$28*$C$28</f>
        <v>6.0226590798671564E+20</v>
      </c>
      <c r="KHA28" s="613">
        <f t="shared" ref="KHA28" si="3845">KGY$28*$C$28</f>
        <v>6.0828856706658284E+20</v>
      </c>
      <c r="KHC28" s="613">
        <f t="shared" ref="KHC28" si="3846">KHA$28*$C$28</f>
        <v>6.1437145273724869E+20</v>
      </c>
      <c r="KHE28" s="613">
        <f t="shared" ref="KHE28" si="3847">KHC$28*$C$28</f>
        <v>6.205151672646212E+20</v>
      </c>
      <c r="KHG28" s="613">
        <f t="shared" ref="KHG28" si="3848">KHE$28*$C$28</f>
        <v>6.2672031893726744E+20</v>
      </c>
      <c r="KHI28" s="613">
        <f t="shared" ref="KHI28" si="3849">KHG$28*$C$28</f>
        <v>6.3298752212664005E+20</v>
      </c>
      <c r="KHK28" s="613">
        <f t="shared" ref="KHK28" si="3850">KHI$28*$C$28</f>
        <v>6.3931739734790649E+20</v>
      </c>
      <c r="KHM28" s="613">
        <f t="shared" ref="KHM28" si="3851">KHK$28*$C$28</f>
        <v>6.4571057132138555E+20</v>
      </c>
      <c r="KHO28" s="613">
        <f t="shared" ref="KHO28" si="3852">KHM$28*$C$28</f>
        <v>6.5216767703459942E+20</v>
      </c>
      <c r="KHQ28" s="613">
        <f t="shared" ref="KHQ28" si="3853">KHO$28*$C$28</f>
        <v>6.5868935380494542E+20</v>
      </c>
      <c r="KHS28" s="613">
        <f t="shared" ref="KHS28" si="3854">KHQ$28*$C$28</f>
        <v>6.6527624734299495E+20</v>
      </c>
      <c r="KHU28" s="613">
        <f t="shared" ref="KHU28" si="3855">KHS$28*$C$28</f>
        <v>6.7192900981642494E+20</v>
      </c>
      <c r="KHW28" s="613">
        <f t="shared" ref="KHW28" si="3856">KHU$28*$C$28</f>
        <v>6.7864829991458924E+20</v>
      </c>
      <c r="KHY28" s="613">
        <f t="shared" ref="KHY28" si="3857">KHW$28*$C$28</f>
        <v>6.8543478291373516E+20</v>
      </c>
      <c r="KIA28" s="613">
        <f t="shared" ref="KIA28" si="3858">KHY$28*$C$28</f>
        <v>6.9228913074287254E+20</v>
      </c>
      <c r="KIC28" s="613">
        <f t="shared" ref="KIC28" si="3859">KIA$28*$C$28</f>
        <v>6.9921202205030128E+20</v>
      </c>
      <c r="KIE28" s="613">
        <f t="shared" ref="KIE28" si="3860">KIC$28*$C$28</f>
        <v>7.0620414227080426E+20</v>
      </c>
      <c r="KIG28" s="613">
        <f t="shared" ref="KIG28" si="3861">KIE$28*$C$28</f>
        <v>7.1326618369351234E+20</v>
      </c>
      <c r="KII28" s="613">
        <f t="shared" ref="KII28" si="3862">KIG$28*$C$28</f>
        <v>7.2039884553044741E+20</v>
      </c>
      <c r="KIK28" s="613">
        <f t="shared" ref="KIK28" si="3863">KII$28*$C$28</f>
        <v>7.2760283398575188E+20</v>
      </c>
      <c r="KIM28" s="613">
        <f t="shared" ref="KIM28" si="3864">KIK$28*$C$28</f>
        <v>7.348788623256094E+20</v>
      </c>
      <c r="KIO28" s="613">
        <f t="shared" ref="KIO28" si="3865">KIM$28*$C$28</f>
        <v>7.4222765094886546E+20</v>
      </c>
      <c r="KIQ28" s="613">
        <f t="shared" ref="KIQ28" si="3866">KIO$28*$C$28</f>
        <v>7.496499274583541E+20</v>
      </c>
      <c r="KIS28" s="613">
        <f t="shared" ref="KIS28" si="3867">KIQ$28*$C$28</f>
        <v>7.5714642673293761E+20</v>
      </c>
      <c r="KIU28" s="613">
        <f t="shared" ref="KIU28" si="3868">KIS$28*$C$28</f>
        <v>7.6471789100026705E+20</v>
      </c>
      <c r="KIW28" s="613">
        <f t="shared" ref="KIW28" si="3869">KIU$28*$C$28</f>
        <v>7.7236506991026976E+20</v>
      </c>
      <c r="KIY28" s="613">
        <f t="shared" ref="KIY28" si="3870">KIW$28*$C$28</f>
        <v>7.8008872060937241E+20</v>
      </c>
      <c r="KJA28" s="613">
        <f t="shared" ref="KJA28" si="3871">KIY$28*$C$28</f>
        <v>7.8788960781546619E+20</v>
      </c>
      <c r="KJC28" s="613">
        <f t="shared" ref="KJC28" si="3872">KJA$28*$C$28</f>
        <v>7.9576850389362082E+20</v>
      </c>
      <c r="KJE28" s="613">
        <f t="shared" ref="KJE28" si="3873">KJC$28*$C$28</f>
        <v>8.0372618893255705E+20</v>
      </c>
      <c r="KJG28" s="613">
        <f t="shared" ref="KJG28" si="3874">KJE$28*$C$28</f>
        <v>8.1176345082188268E+20</v>
      </c>
      <c r="KJI28" s="613">
        <f t="shared" ref="KJI28" si="3875">KJG$28*$C$28</f>
        <v>8.198810853301015E+20</v>
      </c>
      <c r="KJK28" s="613">
        <f t="shared" ref="KJK28" si="3876">KJI$28*$C$28</f>
        <v>8.2807989618340253E+20</v>
      </c>
      <c r="KJM28" s="613">
        <f t="shared" ref="KJM28" si="3877">KJK$28*$C$28</f>
        <v>8.3636069514523653E+20</v>
      </c>
      <c r="KJO28" s="613">
        <f t="shared" ref="KJO28" si="3878">KJM$28*$C$28</f>
        <v>8.4472430209668887E+20</v>
      </c>
      <c r="KJQ28" s="613">
        <f t="shared" ref="KJQ28" si="3879">KJO$28*$C$28</f>
        <v>8.5317154511765583E+20</v>
      </c>
      <c r="KJS28" s="613">
        <f t="shared" ref="KJS28" si="3880">KJQ$28*$C$28</f>
        <v>8.6170326056883244E+20</v>
      </c>
      <c r="KJU28" s="613">
        <f t="shared" ref="KJU28" si="3881">KJS$28*$C$28</f>
        <v>8.7032029317452071E+20</v>
      </c>
      <c r="KJW28" s="613">
        <f t="shared" ref="KJW28" si="3882">KJU$28*$C$28</f>
        <v>8.7902349610626594E+20</v>
      </c>
      <c r="KJY28" s="613">
        <f t="shared" ref="KJY28" si="3883">KJW$28*$C$28</f>
        <v>8.8781373106732859E+20</v>
      </c>
      <c r="KKA28" s="613">
        <f t="shared" ref="KKA28" si="3884">KJY$28*$C$28</f>
        <v>8.9669186837800183E+20</v>
      </c>
      <c r="KKC28" s="613">
        <f t="shared" ref="KKC28" si="3885">KKA$28*$C$28</f>
        <v>9.0565878706178189E+20</v>
      </c>
      <c r="KKE28" s="613">
        <f t="shared" ref="KKE28" si="3886">KKC$28*$C$28</f>
        <v>9.1471537493239975E+20</v>
      </c>
      <c r="KKG28" s="613">
        <f t="shared" ref="KKG28" si="3887">KKE$28*$C$28</f>
        <v>9.2386252868172382E+20</v>
      </c>
      <c r="KKI28" s="613">
        <f t="shared" ref="KKI28" si="3888">KKG$28*$C$28</f>
        <v>9.3310115396854101E+20</v>
      </c>
      <c r="KKK28" s="613">
        <f t="shared" ref="KKK28" si="3889">KKI$28*$C$28</f>
        <v>9.4243216550822648E+20</v>
      </c>
      <c r="KKM28" s="613">
        <f t="shared" ref="KKM28" si="3890">KKK$28*$C$28</f>
        <v>9.518564871633088E+20</v>
      </c>
      <c r="KKO28" s="613">
        <f t="shared" ref="KKO28" si="3891">KKM$28*$C$28</f>
        <v>9.6137505203494191E+20</v>
      </c>
      <c r="KKQ28" s="613">
        <f t="shared" ref="KKQ28" si="3892">KKO$28*$C$28</f>
        <v>9.7098880255529137E+20</v>
      </c>
      <c r="KKS28" s="613">
        <f t="shared" ref="KKS28" si="3893">KKQ$28*$C$28</f>
        <v>9.8069869058084425E+20</v>
      </c>
      <c r="KKU28" s="613">
        <f t="shared" ref="KKU28" si="3894">KKS$28*$C$28</f>
        <v>9.9050567748665265E+20</v>
      </c>
      <c r="KKW28" s="613">
        <f t="shared" ref="KKW28" si="3895">KKU$28*$C$28</f>
        <v>1.0004107342615193E+21</v>
      </c>
      <c r="KKY28" s="613">
        <f t="shared" ref="KKY28" si="3896">KKW$28*$C$28</f>
        <v>1.0104148416041344E+21</v>
      </c>
      <c r="KLA28" s="613">
        <f t="shared" ref="KLA28" si="3897">KKY$28*$C$28</f>
        <v>1.0205189900201757E+21</v>
      </c>
      <c r="KLC28" s="613">
        <f t="shared" ref="KLC28" si="3898">KLA$28*$C$28</f>
        <v>1.0307241799203775E+21</v>
      </c>
      <c r="KLE28" s="613">
        <f t="shared" ref="KLE28" si="3899">KLC$28*$C$28</f>
        <v>1.0410314217195813E+21</v>
      </c>
      <c r="KLG28" s="613">
        <f t="shared" ref="KLG28" si="3900">KLE$28*$C$28</f>
        <v>1.0514417359367771E+21</v>
      </c>
      <c r="KLI28" s="613">
        <f t="shared" ref="KLI28" si="3901">KLG$28*$C$28</f>
        <v>1.061956153296145E+21</v>
      </c>
      <c r="KLK28" s="613">
        <f t="shared" ref="KLK28" si="3902">KLI$28*$C$28</f>
        <v>1.0725757148291064E+21</v>
      </c>
      <c r="KLM28" s="613">
        <f t="shared" ref="KLM28" si="3903">KLK$28*$C$28</f>
        <v>1.0833014719773976E+21</v>
      </c>
      <c r="KLO28" s="613">
        <f t="shared" ref="KLO28" si="3904">KLM$28*$C$28</f>
        <v>1.0941344866971715E+21</v>
      </c>
      <c r="KLQ28" s="613">
        <f t="shared" ref="KLQ28" si="3905">KLO$28*$C$28</f>
        <v>1.1050758315641432E+21</v>
      </c>
      <c r="KLS28" s="613">
        <f t="shared" ref="KLS28" si="3906">KLQ$28*$C$28</f>
        <v>1.1161265898797846E+21</v>
      </c>
      <c r="KLU28" s="613">
        <f t="shared" ref="KLU28" si="3907">KLS$28*$C$28</f>
        <v>1.1272878557785824E+21</v>
      </c>
      <c r="KLW28" s="613">
        <f t="shared" ref="KLW28" si="3908">KLU$28*$C$28</f>
        <v>1.1385607343363682E+21</v>
      </c>
      <c r="KLY28" s="613">
        <f t="shared" ref="KLY28" si="3909">KLW$28*$C$28</f>
        <v>1.149946341679732E+21</v>
      </c>
      <c r="KMA28" s="613">
        <f t="shared" ref="KMA28" si="3910">KLY$28*$C$28</f>
        <v>1.1614458050965293E+21</v>
      </c>
      <c r="KMC28" s="613">
        <f t="shared" ref="KMC28" si="3911">KMA$28*$C$28</f>
        <v>1.1730602631474946E+21</v>
      </c>
      <c r="KME28" s="613">
        <f t="shared" ref="KME28" si="3912">KMC$28*$C$28</f>
        <v>1.1847908657789694E+21</v>
      </c>
      <c r="KMG28" s="613">
        <f t="shared" ref="KMG28" si="3913">KME$28*$C$28</f>
        <v>1.1966387744367591E+21</v>
      </c>
      <c r="KMI28" s="613">
        <f t="shared" ref="KMI28" si="3914">KMG$28*$C$28</f>
        <v>1.2086051621811268E+21</v>
      </c>
      <c r="KMK28" s="613">
        <f t="shared" ref="KMK28" si="3915">KMI$28*$C$28</f>
        <v>1.220691213802938E+21</v>
      </c>
      <c r="KMM28" s="613">
        <f t="shared" ref="KMM28" si="3916">KMK$28*$C$28</f>
        <v>1.2328981259409673E+21</v>
      </c>
      <c r="KMO28" s="613">
        <f t="shared" ref="KMO28" si="3917">KMM$28*$C$28</f>
        <v>1.245227107200377E+21</v>
      </c>
      <c r="KMQ28" s="613">
        <f t="shared" ref="KMQ28" si="3918">KMO$28*$C$28</f>
        <v>1.2576793782723808E+21</v>
      </c>
      <c r="KMS28" s="613">
        <f t="shared" ref="KMS28" si="3919">KMQ$28*$C$28</f>
        <v>1.2702561720551046E+21</v>
      </c>
      <c r="KMU28" s="613">
        <f t="shared" ref="KMU28" si="3920">KMS$28*$C$28</f>
        <v>1.2829587337756557E+21</v>
      </c>
      <c r="KMW28" s="613">
        <f t="shared" ref="KMW28" si="3921">KMU$28*$C$28</f>
        <v>1.2957883211134122E+21</v>
      </c>
      <c r="KMY28" s="613">
        <f t="shared" ref="KMY28" si="3922">KMW$28*$C$28</f>
        <v>1.3087462043245462E+21</v>
      </c>
      <c r="KNA28" s="613">
        <f t="shared" ref="KNA28" si="3923">KMY$28*$C$28</f>
        <v>1.3218336663677916E+21</v>
      </c>
      <c r="KNC28" s="613">
        <f t="shared" ref="KNC28" si="3924">KNA$28*$C$28</f>
        <v>1.3350520030314695E+21</v>
      </c>
      <c r="KNE28" s="613">
        <f t="shared" ref="KNE28" si="3925">KNC$28*$C$28</f>
        <v>1.3484025230617842E+21</v>
      </c>
      <c r="KNG28" s="613">
        <f t="shared" ref="KNG28" si="3926">KNE$28*$C$28</f>
        <v>1.3618865482924019E+21</v>
      </c>
      <c r="KNI28" s="613">
        <f t="shared" ref="KNI28" si="3927">KNG$28*$C$28</f>
        <v>1.3755054137753259E+21</v>
      </c>
      <c r="KNK28" s="613">
        <f t="shared" ref="KNK28" si="3928">KNI$28*$C$28</f>
        <v>1.3892604679130791E+21</v>
      </c>
      <c r="KNM28" s="613">
        <f t="shared" ref="KNM28" si="3929">KNK$28*$C$28</f>
        <v>1.4031530725922098E+21</v>
      </c>
      <c r="KNO28" s="613">
        <f t="shared" ref="KNO28" si="3930">KNM$28*$C$28</f>
        <v>1.4171846033181319E+21</v>
      </c>
      <c r="KNQ28" s="613">
        <f t="shared" ref="KNQ28" si="3931">KNO$28*$C$28</f>
        <v>1.4313564493513131E+21</v>
      </c>
      <c r="KNS28" s="613">
        <f t="shared" ref="KNS28" si="3932">KNQ$28*$C$28</f>
        <v>1.4456700138448264E+21</v>
      </c>
      <c r="KNU28" s="613">
        <f t="shared" ref="KNU28" si="3933">KNS$28*$C$28</f>
        <v>1.4601267139832746E+21</v>
      </c>
      <c r="KNW28" s="613">
        <f t="shared" ref="KNW28" si="3934">KNU$28*$C$28</f>
        <v>1.4747279811231073E+21</v>
      </c>
      <c r="KNY28" s="613">
        <f t="shared" ref="KNY28" si="3935">KNW$28*$C$28</f>
        <v>1.4894752609343384E+21</v>
      </c>
      <c r="KOA28" s="613">
        <f t="shared" ref="KOA28" si="3936">KNY$28*$C$28</f>
        <v>1.5043700135436818E+21</v>
      </c>
      <c r="KOC28" s="613">
        <f t="shared" ref="KOC28" si="3937">KOA$28*$C$28</f>
        <v>1.5194137136791185E+21</v>
      </c>
      <c r="KOE28" s="613">
        <f t="shared" ref="KOE28" si="3938">KOC$28*$C$28</f>
        <v>1.5346078508159098E+21</v>
      </c>
      <c r="KOG28" s="613">
        <f t="shared" ref="KOG28" si="3939">KOE$28*$C$28</f>
        <v>1.5499539293240689E+21</v>
      </c>
      <c r="KOI28" s="613">
        <f t="shared" ref="KOI28" si="3940">KOG$28*$C$28</f>
        <v>1.5654534686173097E+21</v>
      </c>
      <c r="KOK28" s="613">
        <f t="shared" ref="KOK28" si="3941">KOI$28*$C$28</f>
        <v>1.5811080033034827E+21</v>
      </c>
      <c r="KOM28" s="613">
        <f t="shared" ref="KOM28" si="3942">KOK$28*$C$28</f>
        <v>1.5969190833365176E+21</v>
      </c>
      <c r="KOO28" s="613">
        <f t="shared" ref="KOO28" si="3943">KOM$28*$C$28</f>
        <v>1.6128882741698827E+21</v>
      </c>
      <c r="KOQ28" s="613">
        <f t="shared" ref="KOQ28" si="3944">KOO$28*$C$28</f>
        <v>1.6290171569115816E+21</v>
      </c>
      <c r="KOS28" s="613">
        <f t="shared" ref="KOS28" si="3945">KOQ$28*$C$28</f>
        <v>1.6453073284806974E+21</v>
      </c>
      <c r="KOU28" s="613">
        <f t="shared" ref="KOU28" si="3946">KOS$28*$C$28</f>
        <v>1.6617604017655044E+21</v>
      </c>
      <c r="KOW28" s="613">
        <f t="shared" ref="KOW28" si="3947">KOU$28*$C$28</f>
        <v>1.6783780057831595E+21</v>
      </c>
      <c r="KOY28" s="613">
        <f t="shared" ref="KOY28" si="3948">KOW$28*$C$28</f>
        <v>1.6951617858409912E+21</v>
      </c>
      <c r="KPA28" s="613">
        <f t="shared" ref="KPA28" si="3949">KOY$28*$C$28</f>
        <v>1.7121134036994011E+21</v>
      </c>
      <c r="KPC28" s="613">
        <f t="shared" ref="KPC28" si="3950">KPA$28*$C$28</f>
        <v>1.729234537736395E+21</v>
      </c>
      <c r="KPE28" s="613">
        <f t="shared" ref="KPE28" si="3951">KPC$28*$C$28</f>
        <v>1.7465268831137589E+21</v>
      </c>
      <c r="KPG28" s="613">
        <f t="shared" ref="KPG28" si="3952">KPE$28*$C$28</f>
        <v>1.7639921519448964E+21</v>
      </c>
      <c r="KPI28" s="613">
        <f t="shared" ref="KPI28" si="3953">KPG$28*$C$28</f>
        <v>1.7816320734643455E+21</v>
      </c>
      <c r="KPK28" s="613">
        <f t="shared" ref="KPK28" si="3954">KPI$28*$C$28</f>
        <v>1.7994483941989889E+21</v>
      </c>
      <c r="KPM28" s="613">
        <f t="shared" ref="KPM28" si="3955">KPK$28*$C$28</f>
        <v>1.8174428781409788E+21</v>
      </c>
      <c r="KPO28" s="613">
        <f t="shared" ref="KPO28" si="3956">KPM$28*$C$28</f>
        <v>1.8356173069223886E+21</v>
      </c>
      <c r="KPQ28" s="613">
        <f t="shared" ref="KPQ28" si="3957">KPO$28*$C$28</f>
        <v>1.8539734799916125E+21</v>
      </c>
      <c r="KPS28" s="613">
        <f t="shared" ref="KPS28" si="3958">KPQ$28*$C$28</f>
        <v>1.8725132147915287E+21</v>
      </c>
      <c r="KPU28" s="613">
        <f t="shared" ref="KPU28" si="3959">KPS$28*$C$28</f>
        <v>1.891238346939444E+21</v>
      </c>
      <c r="KPW28" s="613">
        <f t="shared" ref="KPW28" si="3960">KPU$28*$C$28</f>
        <v>1.9101507304088383E+21</v>
      </c>
      <c r="KPY28" s="613">
        <f t="shared" ref="KPY28" si="3961">KPW$28*$C$28</f>
        <v>1.9292522377129267E+21</v>
      </c>
      <c r="KQA28" s="613">
        <f t="shared" ref="KQA28" si="3962">KPY$28*$C$28</f>
        <v>1.9485447600900559E+21</v>
      </c>
      <c r="KQC28" s="613">
        <f t="shared" ref="KQC28" si="3963">KQA$28*$C$28</f>
        <v>1.9680302076909566E+21</v>
      </c>
      <c r="KQE28" s="613">
        <f t="shared" ref="KQE28" si="3964">KQC$28*$C$28</f>
        <v>1.9877105097678662E+21</v>
      </c>
      <c r="KQG28" s="613">
        <f t="shared" ref="KQG28" si="3965">KQE$28*$C$28</f>
        <v>2.007587614865545E+21</v>
      </c>
      <c r="KQI28" s="613">
        <f t="shared" ref="KQI28" si="3966">KQG$28*$C$28</f>
        <v>2.0276634910142004E+21</v>
      </c>
      <c r="KQK28" s="613">
        <f t="shared" ref="KQK28" si="3967">KQI$28*$C$28</f>
        <v>2.0479401259243424E+21</v>
      </c>
      <c r="KQM28" s="613">
        <f t="shared" ref="KQM28" si="3968">KQK$28*$C$28</f>
        <v>2.0684195271835858E+21</v>
      </c>
      <c r="KQO28" s="613">
        <f t="shared" ref="KQO28" si="3969">KQM$28*$C$28</f>
        <v>2.0891037224554217E+21</v>
      </c>
      <c r="KQQ28" s="613">
        <f t="shared" ref="KQQ28" si="3970">KQO$28*$C$28</f>
        <v>2.1099947596799759E+21</v>
      </c>
      <c r="KQS28" s="613">
        <f t="shared" ref="KQS28" si="3971">KQQ$28*$C$28</f>
        <v>2.1310947072767757E+21</v>
      </c>
      <c r="KQU28" s="613">
        <f t="shared" ref="KQU28" si="3972">KQS$28*$C$28</f>
        <v>2.1524056543495434E+21</v>
      </c>
      <c r="KQW28" s="613">
        <f t="shared" ref="KQW28" si="3973">KQU$28*$C$28</f>
        <v>2.1739297108930388E+21</v>
      </c>
      <c r="KQY28" s="613">
        <f t="shared" ref="KQY28" si="3974">KQW$28*$C$28</f>
        <v>2.1956690080019692E+21</v>
      </c>
      <c r="KRA28" s="613">
        <f t="shared" ref="KRA28" si="3975">KQY$28*$C$28</f>
        <v>2.2176256980819889E+21</v>
      </c>
      <c r="KRC28" s="613">
        <f t="shared" ref="KRC28" si="3976">KRA$28*$C$28</f>
        <v>2.2398019550628088E+21</v>
      </c>
      <c r="KRE28" s="613">
        <f t="shared" ref="KRE28" si="3977">KRC$28*$C$28</f>
        <v>2.2621999746134369E+21</v>
      </c>
      <c r="KRG28" s="613">
        <f t="shared" ref="KRG28" si="3978">KRE$28*$C$28</f>
        <v>2.2848219743595712E+21</v>
      </c>
      <c r="KRI28" s="613">
        <f t="shared" ref="KRI28" si="3979">KRG$28*$C$28</f>
        <v>2.307670194103167E+21</v>
      </c>
      <c r="KRK28" s="613">
        <f t="shared" ref="KRK28" si="3980">KRI$28*$C$28</f>
        <v>2.3307468960441987E+21</v>
      </c>
      <c r="KRM28" s="613">
        <f t="shared" ref="KRM28" si="3981">KRK$28*$C$28</f>
        <v>2.3540543650046408E+21</v>
      </c>
      <c r="KRO28" s="613">
        <f t="shared" ref="KRO28" si="3982">KRM$28*$C$28</f>
        <v>2.3775949086546875E+21</v>
      </c>
      <c r="KRQ28" s="613">
        <f t="shared" ref="KRQ28" si="3983">KRO$28*$C$28</f>
        <v>2.4013708577412345E+21</v>
      </c>
      <c r="KRS28" s="613">
        <f t="shared" ref="KRS28" si="3984">KRQ$28*$C$28</f>
        <v>2.4253845663186467E+21</v>
      </c>
      <c r="KRU28" s="613">
        <f t="shared" ref="KRU28" si="3985">KRS$28*$C$28</f>
        <v>2.4496384119818331E+21</v>
      </c>
      <c r="KRW28" s="613">
        <f t="shared" ref="KRW28" si="3986">KRU$28*$C$28</f>
        <v>2.4741347961016513E+21</v>
      </c>
      <c r="KRY28" s="613">
        <f t="shared" ref="KRY28" si="3987">KRW$28*$C$28</f>
        <v>2.4988761440626677E+21</v>
      </c>
      <c r="KSA28" s="613">
        <f t="shared" ref="KSA28" si="3988">KRY$28*$C$28</f>
        <v>2.5238649055032944E+21</v>
      </c>
      <c r="KSC28" s="613">
        <f t="shared" ref="KSC28" si="3989">KSA$28*$C$28</f>
        <v>2.5491035545583275E+21</v>
      </c>
      <c r="KSE28" s="613">
        <f t="shared" ref="KSE28" si="3990">KSC$28*$C$28</f>
        <v>2.5745945901039107E+21</v>
      </c>
      <c r="KSG28" s="613">
        <f t="shared" ref="KSG28" si="3991">KSE$28*$C$28</f>
        <v>2.6003405360049501E+21</v>
      </c>
      <c r="KSI28" s="613">
        <f t="shared" ref="KSI28" si="3992">KSG$28*$C$28</f>
        <v>2.6263439413649998E+21</v>
      </c>
      <c r="KSK28" s="613">
        <f t="shared" ref="KSK28" si="3993">KSI$28*$C$28</f>
        <v>2.6526073807786496E+21</v>
      </c>
      <c r="KSM28" s="613">
        <f t="shared" ref="KSM28" si="3994">KSK$28*$C$28</f>
        <v>2.6791334545864361E+21</v>
      </c>
      <c r="KSO28" s="613">
        <f t="shared" ref="KSO28" si="3995">KSM$28*$C$28</f>
        <v>2.7059247891323006E+21</v>
      </c>
      <c r="KSQ28" s="613">
        <f t="shared" ref="KSQ28" si="3996">KSO$28*$C$28</f>
        <v>2.7329840370236239E+21</v>
      </c>
      <c r="KSS28" s="613">
        <f t="shared" ref="KSS28" si="3997">KSQ$28*$C$28</f>
        <v>2.7603138773938602E+21</v>
      </c>
      <c r="KSU28" s="613">
        <f t="shared" ref="KSU28" si="3998">KSS$28*$C$28</f>
        <v>2.7879170161677991E+21</v>
      </c>
      <c r="KSW28" s="613">
        <f t="shared" ref="KSW28" si="3999">KSU$28*$C$28</f>
        <v>2.8157961863294773E+21</v>
      </c>
      <c r="KSY28" s="613">
        <f t="shared" ref="KSY28" si="4000">KSW$28*$C$28</f>
        <v>2.8439541481927722E+21</v>
      </c>
      <c r="KTA28" s="613">
        <f t="shared" ref="KTA28" si="4001">KSY$28*$C$28</f>
        <v>2.8723936896746998E+21</v>
      </c>
      <c r="KTC28" s="613">
        <f t="shared" ref="KTC28" si="4002">KTA$28*$C$28</f>
        <v>2.9011176265714468E+21</v>
      </c>
      <c r="KTE28" s="613">
        <f t="shared" ref="KTE28" si="4003">KTC$28*$C$28</f>
        <v>2.9301288028371613E+21</v>
      </c>
      <c r="KTG28" s="613">
        <f t="shared" ref="KTG28" si="4004">KTE$28*$C$28</f>
        <v>2.959430090865533E+21</v>
      </c>
      <c r="KTI28" s="613">
        <f t="shared" ref="KTI28" si="4005">KTG$28*$C$28</f>
        <v>2.9890243917741886E+21</v>
      </c>
      <c r="KTK28" s="613">
        <f t="shared" ref="KTK28" si="4006">KTI$28*$C$28</f>
        <v>3.0189146356919304E+21</v>
      </c>
      <c r="KTM28" s="613">
        <f t="shared" ref="KTM28" si="4007">KTK$28*$C$28</f>
        <v>3.04910378204885E+21</v>
      </c>
      <c r="KTO28" s="613">
        <f t="shared" ref="KTO28" si="4008">KTM$28*$C$28</f>
        <v>3.0795948198693385E+21</v>
      </c>
      <c r="KTQ28" s="613">
        <f t="shared" ref="KTQ28" si="4009">KTO$28*$C$28</f>
        <v>3.1103907680680317E+21</v>
      </c>
      <c r="KTS28" s="613">
        <f t="shared" ref="KTS28" si="4010">KTQ$28*$C$28</f>
        <v>3.1414946757487121E+21</v>
      </c>
      <c r="KTU28" s="613">
        <f t="shared" ref="KTU28" si="4011">KTS$28*$C$28</f>
        <v>3.1729096225061994E+21</v>
      </c>
      <c r="KTW28" s="613">
        <f t="shared" ref="KTW28" si="4012">KTU$28*$C$28</f>
        <v>3.2046387187312613E+21</v>
      </c>
      <c r="KTY28" s="613">
        <f t="shared" ref="KTY28" si="4013">KTW$28*$C$28</f>
        <v>3.2366851059185741E+21</v>
      </c>
      <c r="KUA28" s="613">
        <f t="shared" ref="KUA28" si="4014">KTY$28*$C$28</f>
        <v>3.2690519569777599E+21</v>
      </c>
      <c r="KUC28" s="613">
        <f t="shared" ref="KUC28" si="4015">KUA$28*$C$28</f>
        <v>3.3017424765475378E+21</v>
      </c>
      <c r="KUE28" s="613">
        <f t="shared" ref="KUE28" si="4016">KUC$28*$C$28</f>
        <v>3.3347599013130131E+21</v>
      </c>
      <c r="KUG28" s="613">
        <f t="shared" ref="KUG28" si="4017">KUE$28*$C$28</f>
        <v>3.3681075003261431E+21</v>
      </c>
      <c r="KUI28" s="613">
        <f t="shared" ref="KUI28" si="4018">KUG$28*$C$28</f>
        <v>3.4017885753294046E+21</v>
      </c>
      <c r="KUK28" s="613">
        <f t="shared" ref="KUK28" si="4019">KUI$28*$C$28</f>
        <v>3.4358064610826985E+21</v>
      </c>
      <c r="KUM28" s="613">
        <f t="shared" ref="KUM28" si="4020">KUK$28*$C$28</f>
        <v>3.4701645256935253E+21</v>
      </c>
      <c r="KUO28" s="613">
        <f t="shared" ref="KUO28" si="4021">KUM$28*$C$28</f>
        <v>3.5048661709504606E+21</v>
      </c>
      <c r="KUQ28" s="613">
        <f t="shared" ref="KUQ28" si="4022">KUO$28*$C$28</f>
        <v>3.539914832659965E+21</v>
      </c>
      <c r="KUS28" s="613">
        <f t="shared" ref="KUS28" si="4023">KUQ$28*$C$28</f>
        <v>3.5753139809865648E+21</v>
      </c>
      <c r="KUU28" s="613">
        <f t="shared" ref="KUU28" si="4024">KUS$28*$C$28</f>
        <v>3.6110671207964302E+21</v>
      </c>
      <c r="KUW28" s="613">
        <f t="shared" ref="KUW28" si="4025">KUU$28*$C$28</f>
        <v>3.6471777920043943E+21</v>
      </c>
      <c r="KUY28" s="613">
        <f t="shared" ref="KUY28" si="4026">KUW$28*$C$28</f>
        <v>3.6836495699244383E+21</v>
      </c>
      <c r="KVA28" s="613">
        <f t="shared" ref="KVA28" si="4027">KUY$28*$C$28</f>
        <v>3.7204860656236825E+21</v>
      </c>
      <c r="KVC28" s="613">
        <f t="shared" ref="KVC28" si="4028">KVA$28*$C$28</f>
        <v>3.7576909262799194E+21</v>
      </c>
      <c r="KVE28" s="613">
        <f t="shared" ref="KVE28" si="4029">KVC$28*$C$28</f>
        <v>3.7952678355427184E+21</v>
      </c>
      <c r="KVG28" s="613">
        <f t="shared" ref="KVG28" si="4030">KVE$28*$C$28</f>
        <v>3.8332205138981458E+21</v>
      </c>
      <c r="KVI28" s="613">
        <f t="shared" ref="KVI28" si="4031">KVG$28*$C$28</f>
        <v>3.8715527190371275E+21</v>
      </c>
      <c r="KVK28" s="613">
        <f t="shared" ref="KVK28" si="4032">KVI$28*$C$28</f>
        <v>3.9102682462274988E+21</v>
      </c>
      <c r="KVM28" s="613">
        <f t="shared" ref="KVM28" si="4033">KVK$28*$C$28</f>
        <v>3.9493709286897741E+21</v>
      </c>
      <c r="KVO28" s="613">
        <f t="shared" ref="KVO28" si="4034">KVM$28*$C$28</f>
        <v>3.9888646379766719E+21</v>
      </c>
      <c r="KVQ28" s="613">
        <f t="shared" ref="KVQ28" si="4035">KVO$28*$C$28</f>
        <v>4.0287532843564385E+21</v>
      </c>
      <c r="KVS28" s="613">
        <f t="shared" ref="KVS28" si="4036">KVQ$28*$C$28</f>
        <v>4.0690408172000028E+21</v>
      </c>
      <c r="KVU28" s="613">
        <f t="shared" ref="KVU28" si="4037">KVS$28*$C$28</f>
        <v>4.1097312253720029E+21</v>
      </c>
      <c r="KVW28" s="613">
        <f t="shared" ref="KVW28" si="4038">KVU$28*$C$28</f>
        <v>4.1508285376257227E+21</v>
      </c>
      <c r="KVY28" s="613">
        <f t="shared" ref="KVY28" si="4039">KVW$28*$C$28</f>
        <v>4.1923368230019798E+21</v>
      </c>
      <c r="KWA28" s="613">
        <f t="shared" ref="KWA28" si="4040">KVY$28*$C$28</f>
        <v>4.2342601912319995E+21</v>
      </c>
      <c r="KWC28" s="613">
        <f t="shared" ref="KWC28" si="4041">KWA$28*$C$28</f>
        <v>4.2766027931443197E+21</v>
      </c>
      <c r="KWE28" s="613">
        <f t="shared" ref="KWE28" si="4042">KWC$28*$C$28</f>
        <v>4.3193688210757627E+21</v>
      </c>
      <c r="KWG28" s="613">
        <f t="shared" ref="KWG28" si="4043">KWE$28*$C$28</f>
        <v>4.3625625092865204E+21</v>
      </c>
      <c r="KWI28" s="613">
        <f t="shared" ref="KWI28" si="4044">KWG$28*$C$28</f>
        <v>4.4061881343793855E+21</v>
      </c>
      <c r="KWK28" s="613">
        <f t="shared" ref="KWK28" si="4045">KWI$28*$C$28</f>
        <v>4.4502500157231795E+21</v>
      </c>
      <c r="KWM28" s="613">
        <f t="shared" ref="KWM28" si="4046">KWK$28*$C$28</f>
        <v>4.4947525158804112E+21</v>
      </c>
      <c r="KWO28" s="613">
        <f t="shared" ref="KWO28" si="4047">KWM$28*$C$28</f>
        <v>4.5397000410392156E+21</v>
      </c>
      <c r="KWQ28" s="613">
        <f t="shared" ref="KWQ28" si="4048">KWO$28*$C$28</f>
        <v>4.5850970414496078E+21</v>
      </c>
      <c r="KWS28" s="613">
        <f t="shared" ref="KWS28" si="4049">KWQ$28*$C$28</f>
        <v>4.6309480118641041E+21</v>
      </c>
      <c r="KWU28" s="613">
        <f t="shared" ref="KWU28" si="4050">KWS$28*$C$28</f>
        <v>4.6772574919827453E+21</v>
      </c>
      <c r="KWW28" s="613">
        <f t="shared" ref="KWW28" si="4051">KWU$28*$C$28</f>
        <v>4.7240300669025733E+21</v>
      </c>
      <c r="KWY28" s="613">
        <f t="shared" ref="KWY28" si="4052">KWW$28*$C$28</f>
        <v>4.7712703675715992E+21</v>
      </c>
      <c r="KXA28" s="613">
        <f t="shared" ref="KXA28" si="4053">KWY$28*$C$28</f>
        <v>4.8189830712473147E+21</v>
      </c>
      <c r="KXC28" s="613">
        <f t="shared" ref="KXC28" si="4054">KXA$28*$C$28</f>
        <v>4.8671729019597881E+21</v>
      </c>
      <c r="KXE28" s="613">
        <f t="shared" ref="KXE28" si="4055">KXC$28*$C$28</f>
        <v>4.9158446309793858E+21</v>
      </c>
      <c r="KXG28" s="613">
        <f t="shared" ref="KXG28" si="4056">KXE$28*$C$28</f>
        <v>4.9650030772891796E+21</v>
      </c>
      <c r="KXI28" s="613">
        <f t="shared" ref="KXI28" si="4057">KXG$28*$C$28</f>
        <v>5.0146531080620716E+21</v>
      </c>
      <c r="KXK28" s="613">
        <f t="shared" ref="KXK28" si="4058">KXI$28*$C$28</f>
        <v>5.0647996391426926E+21</v>
      </c>
      <c r="KXM28" s="613">
        <f t="shared" ref="KXM28" si="4059">KXK$28*$C$28</f>
        <v>5.1154476355341192E+21</v>
      </c>
      <c r="KXO28" s="613">
        <f t="shared" ref="KXO28" si="4060">KXM$28*$C$28</f>
        <v>5.1666021118894607E+21</v>
      </c>
      <c r="KXQ28" s="613">
        <f t="shared" ref="KXQ28" si="4061">KXO$28*$C$28</f>
        <v>5.2182681330083556E+21</v>
      </c>
      <c r="KXS28" s="613">
        <f t="shared" ref="KXS28" si="4062">KXQ$28*$C$28</f>
        <v>5.2704508143384396E+21</v>
      </c>
      <c r="KXU28" s="613">
        <f t="shared" ref="KXU28" si="4063">KXS$28*$C$28</f>
        <v>5.3231553224818242E+21</v>
      </c>
      <c r="KXW28" s="613">
        <f t="shared" ref="KXW28" si="4064">KXU$28*$C$28</f>
        <v>5.376386875706642E+21</v>
      </c>
      <c r="KXY28" s="613">
        <f t="shared" ref="KXY28" si="4065">KXW$28*$C$28</f>
        <v>5.4301507444637088E+21</v>
      </c>
      <c r="KYA28" s="613">
        <f t="shared" ref="KYA28" si="4066">KXY$28*$C$28</f>
        <v>5.4844522519083457E+21</v>
      </c>
      <c r="KYC28" s="613">
        <f t="shared" ref="KYC28" si="4067">KYA$28*$C$28</f>
        <v>5.539296774427429E+21</v>
      </c>
      <c r="KYE28" s="613">
        <f t="shared" ref="KYE28" si="4068">KYC$28*$C$28</f>
        <v>5.5946897421717031E+21</v>
      </c>
      <c r="KYG28" s="613">
        <f t="shared" ref="KYG28" si="4069">KYE$28*$C$28</f>
        <v>5.6506366395934206E+21</v>
      </c>
      <c r="KYI28" s="613">
        <f t="shared" ref="KYI28" si="4070">KYG$28*$C$28</f>
        <v>5.7071430059893551E+21</v>
      </c>
      <c r="KYK28" s="613">
        <f t="shared" ref="KYK28" si="4071">KYI$28*$C$28</f>
        <v>5.7642144360492486E+21</v>
      </c>
      <c r="KYM28" s="613">
        <f t="shared" ref="KYM28" si="4072">KYK$28*$C$28</f>
        <v>5.821856580409741E+21</v>
      </c>
      <c r="KYO28" s="613">
        <f t="shared" ref="KYO28" si="4073">KYM$28*$C$28</f>
        <v>5.8800751462138386E+21</v>
      </c>
      <c r="KYQ28" s="613">
        <f t="shared" ref="KYQ28" si="4074">KYO$28*$C$28</f>
        <v>5.9388758976759773E+21</v>
      </c>
      <c r="KYS28" s="613">
        <f t="shared" ref="KYS28" si="4075">KYQ$28*$C$28</f>
        <v>5.9982646566527372E+21</v>
      </c>
      <c r="KYU28" s="613">
        <f t="shared" ref="KYU28" si="4076">KYS$28*$C$28</f>
        <v>6.0582473032192649E+21</v>
      </c>
      <c r="KYW28" s="613">
        <f t="shared" ref="KYW28" si="4077">KYU$28*$C$28</f>
        <v>6.1188297762514571E+21</v>
      </c>
      <c r="KYY28" s="613">
        <f t="shared" ref="KYY28" si="4078">KYW$28*$C$28</f>
        <v>6.1800180740139715E+21</v>
      </c>
      <c r="KZA28" s="613">
        <f t="shared" ref="KZA28" si="4079">KYY$28*$C$28</f>
        <v>6.2418182547541108E+21</v>
      </c>
      <c r="KZC28" s="613">
        <f t="shared" ref="KZC28" si="4080">KZA$28*$C$28</f>
        <v>6.3042364373016521E+21</v>
      </c>
      <c r="KZE28" s="613">
        <f t="shared" ref="KZE28" si="4081">KZC$28*$C$28</f>
        <v>6.3672788016746683E+21</v>
      </c>
      <c r="KZG28" s="613">
        <f t="shared" ref="KZG28" si="4082">KZE$28*$C$28</f>
        <v>6.4309515896914151E+21</v>
      </c>
      <c r="KZI28" s="613">
        <f t="shared" ref="KZI28" si="4083">KZG$28*$C$28</f>
        <v>6.4952611055883298E+21</v>
      </c>
      <c r="KZK28" s="613">
        <f t="shared" ref="KZK28" si="4084">KZI$28*$C$28</f>
        <v>6.5602137166442136E+21</v>
      </c>
      <c r="KZM28" s="613">
        <f t="shared" ref="KZM28" si="4085">KZK$28*$C$28</f>
        <v>6.625815853810656E+21</v>
      </c>
      <c r="KZO28" s="613">
        <f t="shared" ref="KZO28" si="4086">KZM$28*$C$28</f>
        <v>6.6920740123487628E+21</v>
      </c>
      <c r="KZQ28" s="613">
        <f t="shared" ref="KZQ28" si="4087">KZO$28*$C$28</f>
        <v>6.7589947524722501E+21</v>
      </c>
      <c r="KZS28" s="613">
        <f t="shared" ref="KZS28" si="4088">KZQ$28*$C$28</f>
        <v>6.8265846999969725E+21</v>
      </c>
      <c r="KZU28" s="613">
        <f t="shared" ref="KZU28" si="4089">KZS$28*$C$28</f>
        <v>6.8948505469969425E+21</v>
      </c>
      <c r="KZW28" s="613">
        <f t="shared" ref="KZW28" si="4090">KZU$28*$C$28</f>
        <v>6.9637990524669122E+21</v>
      </c>
      <c r="KZY28" s="613">
        <f t="shared" ref="KZY28" si="4091">KZW$28*$C$28</f>
        <v>7.0334370429915816E+21</v>
      </c>
      <c r="LAA28" s="613">
        <f t="shared" ref="LAA28" si="4092">KZY$28*$C$28</f>
        <v>7.1037714134214975E+21</v>
      </c>
      <c r="LAC28" s="613">
        <f t="shared" ref="LAC28" si="4093">LAA$28*$C$28</f>
        <v>7.1748091275557124E+21</v>
      </c>
      <c r="LAE28" s="613">
        <f t="shared" ref="LAE28" si="4094">LAC$28*$C$28</f>
        <v>7.2465572188312694E+21</v>
      </c>
      <c r="LAG28" s="613">
        <f t="shared" ref="LAG28" si="4095">LAE$28*$C$28</f>
        <v>7.3190227910195822E+21</v>
      </c>
      <c r="LAI28" s="613">
        <f t="shared" ref="LAI28" si="4096">LAG$28*$C$28</f>
        <v>7.3922130189297784E+21</v>
      </c>
      <c r="LAK28" s="613">
        <f t="shared" ref="LAK28" si="4097">LAI$28*$C$28</f>
        <v>7.4661351491190758E+21</v>
      </c>
      <c r="LAM28" s="613">
        <f t="shared" ref="LAM28" si="4098">LAK$28*$C$28</f>
        <v>7.5407965006102664E+21</v>
      </c>
      <c r="LAO28" s="613">
        <f t="shared" ref="LAO28" si="4099">LAM$28*$C$28</f>
        <v>7.6162044656163687E+21</v>
      </c>
      <c r="LAQ28" s="613">
        <f t="shared" ref="LAQ28" si="4100">LAO$28*$C$28</f>
        <v>7.6923665102725322E+21</v>
      </c>
      <c r="LAS28" s="613">
        <f t="shared" ref="LAS28" si="4101">LAQ$28*$C$28</f>
        <v>7.7692901753752576E+21</v>
      </c>
      <c r="LAU28" s="613">
        <f t="shared" ref="LAU28" si="4102">LAS$28*$C$28</f>
        <v>7.8469830771290103E+21</v>
      </c>
      <c r="LAW28" s="613">
        <f t="shared" ref="LAW28" si="4103">LAU$28*$C$28</f>
        <v>7.9254529079003002E+21</v>
      </c>
      <c r="LAY28" s="613">
        <f t="shared" ref="LAY28" si="4104">LAW$28*$C$28</f>
        <v>8.0047074369793037E+21</v>
      </c>
      <c r="LBA28" s="613">
        <f t="shared" ref="LBA28" si="4105">LAY$28*$C$28</f>
        <v>8.0847545113490972E+21</v>
      </c>
      <c r="LBC28" s="613">
        <f t="shared" ref="LBC28" si="4106">LBA$28*$C$28</f>
        <v>8.1656020564625882E+21</v>
      </c>
      <c r="LBE28" s="613">
        <f t="shared" ref="LBE28" si="4107">LBC$28*$C$28</f>
        <v>8.2472580770272138E+21</v>
      </c>
      <c r="LBG28" s="613">
        <f t="shared" ref="LBG28" si="4108">LBE$28*$C$28</f>
        <v>8.3297306577974864E+21</v>
      </c>
      <c r="LBI28" s="613">
        <f t="shared" ref="LBI28" si="4109">LBG$28*$C$28</f>
        <v>8.4130279643754613E+21</v>
      </c>
      <c r="LBK28" s="613">
        <f t="shared" ref="LBK28" si="4110">LBI$28*$C$28</f>
        <v>8.4971582440192155E+21</v>
      </c>
      <c r="LBM28" s="613">
        <f t="shared" ref="LBM28" si="4111">LBK$28*$C$28</f>
        <v>8.5821298264594081E+21</v>
      </c>
      <c r="LBO28" s="613">
        <f t="shared" ref="LBO28" si="4112">LBM$28*$C$28</f>
        <v>8.6679511247240026E+21</v>
      </c>
      <c r="LBQ28" s="613">
        <f t="shared" ref="LBQ28" si="4113">LBO$28*$C$28</f>
        <v>8.7546306359712431E+21</v>
      </c>
      <c r="LBS28" s="613">
        <f t="shared" ref="LBS28" si="4114">LBQ$28*$C$28</f>
        <v>8.8421769423309557E+21</v>
      </c>
      <c r="LBU28" s="613">
        <f t="shared" ref="LBU28" si="4115">LBS$28*$C$28</f>
        <v>8.9305987117542655E+21</v>
      </c>
      <c r="LBW28" s="613">
        <f t="shared" ref="LBW28" si="4116">LBU$28*$C$28</f>
        <v>9.0199046988718083E+21</v>
      </c>
      <c r="LBY28" s="613">
        <f t="shared" ref="LBY28" si="4117">LBW$28*$C$28</f>
        <v>9.1101037458605264E+21</v>
      </c>
      <c r="LCA28" s="613">
        <f t="shared" ref="LCA28" si="4118">LBY$28*$C$28</f>
        <v>9.2012047833191321E+21</v>
      </c>
      <c r="LCC28" s="613">
        <f t="shared" ref="LCC28" si="4119">LCA$28*$C$28</f>
        <v>9.2932168311523236E+21</v>
      </c>
      <c r="LCE28" s="613">
        <f t="shared" ref="LCE28" si="4120">LCC$28*$C$28</f>
        <v>9.3861489994638473E+21</v>
      </c>
      <c r="LCG28" s="613">
        <f t="shared" ref="LCG28" si="4121">LCE$28*$C$28</f>
        <v>9.4800104894584848E+21</v>
      </c>
      <c r="LCI28" s="613">
        <f t="shared" ref="LCI28" si="4122">LCG$28*$C$28</f>
        <v>9.5748105943530697E+21</v>
      </c>
      <c r="LCK28" s="613">
        <f t="shared" ref="LCK28" si="4123">LCI$28*$C$28</f>
        <v>9.6705587002966006E+21</v>
      </c>
      <c r="LCM28" s="613">
        <f t="shared" ref="LCM28" si="4124">LCK$28*$C$28</f>
        <v>9.7672642872995658E+21</v>
      </c>
      <c r="LCO28" s="613">
        <f t="shared" ref="LCO28" si="4125">LCM$28*$C$28</f>
        <v>9.8649369301725615E+21</v>
      </c>
      <c r="LCQ28" s="613">
        <f t="shared" ref="LCQ28" si="4126">LCO$28*$C$28</f>
        <v>9.9635862994742862E+21</v>
      </c>
      <c r="LCS28" s="613">
        <f t="shared" ref="LCS28" si="4127">LCQ$28*$C$28</f>
        <v>1.0063222162469029E+22</v>
      </c>
      <c r="LCU28" s="613">
        <f t="shared" ref="LCU28" si="4128">LCS$28*$C$28</f>
        <v>1.0163854384093718E+22</v>
      </c>
      <c r="LCW28" s="613">
        <f t="shared" ref="LCW28" si="4129">LCU$28*$C$28</f>
        <v>1.0265492927934655E+22</v>
      </c>
      <c r="LCY28" s="613">
        <f t="shared" ref="LCY28" si="4130">LCW$28*$C$28</f>
        <v>1.0368147857214001E+22</v>
      </c>
      <c r="LDA28" s="613">
        <f t="shared" ref="LDA28" si="4131">LCY$28*$C$28</f>
        <v>1.047182933578614E+22</v>
      </c>
      <c r="LDC28" s="613">
        <f t="shared" ref="LDC28" si="4132">LDA$28*$C$28</f>
        <v>1.0576547629144002E+22</v>
      </c>
      <c r="LDE28" s="613">
        <f t="shared" ref="LDE28" si="4133">LDC$28*$C$28</f>
        <v>1.0682313105435441E+22</v>
      </c>
      <c r="LDG28" s="613">
        <f t="shared" ref="LDG28" si="4134">LDE$28*$C$28</f>
        <v>1.0789136236489795E+22</v>
      </c>
      <c r="LDI28" s="613">
        <f t="shared" ref="LDI28" si="4135">LDG$28*$C$28</f>
        <v>1.0897027598854694E+22</v>
      </c>
      <c r="LDK28" s="613">
        <f t="shared" ref="LDK28" si="4136">LDI$28*$C$28</f>
        <v>1.1005997874843241E+22</v>
      </c>
      <c r="LDM28" s="613">
        <f t="shared" ref="LDM28" si="4137">LDK$28*$C$28</f>
        <v>1.1116057853591674E+22</v>
      </c>
      <c r="LDO28" s="613">
        <f t="shared" ref="LDO28" si="4138">LDM$28*$C$28</f>
        <v>1.1227218432127591E+22</v>
      </c>
      <c r="LDQ28" s="613">
        <f t="shared" ref="LDQ28" si="4139">LDO$28*$C$28</f>
        <v>1.1339490616448867E+22</v>
      </c>
      <c r="LDS28" s="613">
        <f t="shared" ref="LDS28" si="4140">LDQ$28*$C$28</f>
        <v>1.1452885522613356E+22</v>
      </c>
      <c r="LDU28" s="613">
        <f t="shared" ref="LDU28" si="4141">LDS$28*$C$28</f>
        <v>1.1567414377839491E+22</v>
      </c>
      <c r="LDW28" s="613">
        <f t="shared" ref="LDW28" si="4142">LDU$28*$C$28</f>
        <v>1.1683088521617887E+22</v>
      </c>
      <c r="LDY28" s="613">
        <f t="shared" ref="LDY28" si="4143">LDW$28*$C$28</f>
        <v>1.1799919406834065E+22</v>
      </c>
      <c r="LEA28" s="613">
        <f t="shared" ref="LEA28" si="4144">LDY$28*$C$28</f>
        <v>1.1917918600902407E+22</v>
      </c>
      <c r="LEC28" s="613">
        <f t="shared" ref="LEC28" si="4145">LEA$28*$C$28</f>
        <v>1.2037097786911431E+22</v>
      </c>
      <c r="LEE28" s="613">
        <f t="shared" ref="LEE28" si="4146">LEC$28*$C$28</f>
        <v>1.2157468764780546E+22</v>
      </c>
      <c r="LEG28" s="613">
        <f t="shared" ref="LEG28" si="4147">LEE$28*$C$28</f>
        <v>1.2279043452428351E+22</v>
      </c>
      <c r="LEI28" s="613">
        <f t="shared" ref="LEI28" si="4148">LEG$28*$C$28</f>
        <v>1.2401833886952634E+22</v>
      </c>
      <c r="LEK28" s="613">
        <f t="shared" ref="LEK28" si="4149">LEI$28*$C$28</f>
        <v>1.2525852225822161E+22</v>
      </c>
      <c r="LEM28" s="613">
        <f t="shared" ref="LEM28" si="4150">LEK$28*$C$28</f>
        <v>1.2651110748080382E+22</v>
      </c>
      <c r="LEO28" s="613">
        <f t="shared" ref="LEO28" si="4151">LEM$28*$C$28</f>
        <v>1.2777621855561186E+22</v>
      </c>
      <c r="LEQ28" s="613">
        <f t="shared" ref="LEQ28" si="4152">LEO$28*$C$28</f>
        <v>1.2905398074116797E+22</v>
      </c>
      <c r="LES28" s="613">
        <f t="shared" ref="LES28" si="4153">LEQ$28*$C$28</f>
        <v>1.3034452054857965E+22</v>
      </c>
      <c r="LEU28" s="613">
        <f t="shared" ref="LEU28" si="4154">LES$28*$C$28</f>
        <v>1.3164796575406545E+22</v>
      </c>
      <c r="LEW28" s="613">
        <f t="shared" ref="LEW28" si="4155">LEU$28*$C$28</f>
        <v>1.3296444541160611E+22</v>
      </c>
      <c r="LEY28" s="613">
        <f t="shared" ref="LEY28" si="4156">LEW$28*$C$28</f>
        <v>1.3429408986572217E+22</v>
      </c>
      <c r="LFA28" s="613">
        <f t="shared" ref="LFA28" si="4157">LEY$28*$C$28</f>
        <v>1.3563703076437939E+22</v>
      </c>
      <c r="LFC28" s="613">
        <f t="shared" ref="LFC28" si="4158">LFA$28*$C$28</f>
        <v>1.369934010720232E+22</v>
      </c>
      <c r="LFE28" s="613">
        <f t="shared" ref="LFE28" si="4159">LFC$28*$C$28</f>
        <v>1.3836333508274344E+22</v>
      </c>
      <c r="LFG28" s="613">
        <f t="shared" ref="LFG28" si="4160">LFE$28*$C$28</f>
        <v>1.3974696843357087E+22</v>
      </c>
      <c r="LFI28" s="613">
        <f t="shared" ref="LFI28" si="4161">LFG$28*$C$28</f>
        <v>1.4114443811790659E+22</v>
      </c>
      <c r="LFK28" s="613">
        <f t="shared" ref="LFK28" si="4162">LFI$28*$C$28</f>
        <v>1.4255588249908564E+22</v>
      </c>
      <c r="LFM28" s="613">
        <f t="shared" ref="LFM28" si="4163">LFK$28*$C$28</f>
        <v>1.4398144132407651E+22</v>
      </c>
      <c r="LFO28" s="613">
        <f t="shared" ref="LFO28" si="4164">LFM$28*$C$28</f>
        <v>1.4542125573731728E+22</v>
      </c>
      <c r="LFQ28" s="613">
        <f t="shared" ref="LFQ28" si="4165">LFO$28*$C$28</f>
        <v>1.4687546829469045E+22</v>
      </c>
      <c r="LFS28" s="613">
        <f t="shared" ref="LFS28" si="4166">LFQ$28*$C$28</f>
        <v>1.4834422297763735E+22</v>
      </c>
      <c r="LFU28" s="613">
        <f t="shared" ref="LFU28" si="4167">LFS$28*$C$28</f>
        <v>1.4982766520741371E+22</v>
      </c>
      <c r="LFW28" s="613">
        <f t="shared" ref="LFW28" si="4168">LFU$28*$C$28</f>
        <v>1.5132594185948784E+22</v>
      </c>
      <c r="LFY28" s="613">
        <f t="shared" ref="LFY28" si="4169">LFW$28*$C$28</f>
        <v>1.5283920127808273E+22</v>
      </c>
      <c r="LGA28" s="613">
        <f t="shared" ref="LGA28" si="4170">LFY$28*$C$28</f>
        <v>1.5436759329086355E+22</v>
      </c>
      <c r="LGC28" s="613">
        <f t="shared" ref="LGC28" si="4171">LGA$28*$C$28</f>
        <v>1.5591126922377218E+22</v>
      </c>
      <c r="LGE28" s="613">
        <f t="shared" ref="LGE28" si="4172">LGC$28*$C$28</f>
        <v>1.5747038191600991E+22</v>
      </c>
      <c r="LGG28" s="613">
        <f t="shared" ref="LGG28" si="4173">LGE$28*$C$28</f>
        <v>1.5904508573517001E+22</v>
      </c>
      <c r="LGI28" s="613">
        <f t="shared" ref="LGI28" si="4174">LGG$28*$C$28</f>
        <v>1.6063553659252171E+22</v>
      </c>
      <c r="LGK28" s="613">
        <f t="shared" ref="LGK28" si="4175">LGI$28*$C$28</f>
        <v>1.6224189195844692E+22</v>
      </c>
      <c r="LGM28" s="613">
        <f t="shared" ref="LGM28" si="4176">LGK$28*$C$28</f>
        <v>1.6386431087803139E+22</v>
      </c>
      <c r="LGO28" s="613">
        <f t="shared" ref="LGO28" si="4177">LGM$28*$C$28</f>
        <v>1.655029539868117E+22</v>
      </c>
      <c r="LGQ28" s="613">
        <f t="shared" ref="LGQ28" si="4178">LGO$28*$C$28</f>
        <v>1.6715798352667982E+22</v>
      </c>
      <c r="LGS28" s="613">
        <f t="shared" ref="LGS28" si="4179">LGQ$28*$C$28</f>
        <v>1.6882956336194663E+22</v>
      </c>
      <c r="LGU28" s="613">
        <f t="shared" ref="LGU28" si="4180">LGS$28*$C$28</f>
        <v>1.7051785899556609E+22</v>
      </c>
      <c r="LGW28" s="613">
        <f t="shared" ref="LGW28" si="4181">LGU$28*$C$28</f>
        <v>1.7222303758552175E+22</v>
      </c>
      <c r="LGY28" s="613">
        <f t="shared" ref="LGY28" si="4182">LGW$28*$C$28</f>
        <v>1.7394526796137697E+22</v>
      </c>
      <c r="LHA28" s="613">
        <f t="shared" ref="LHA28" si="4183">LGY$28*$C$28</f>
        <v>1.7568472064099074E+22</v>
      </c>
      <c r="LHC28" s="613">
        <f t="shared" ref="LHC28" si="4184">LHA$28*$C$28</f>
        <v>1.7744156784740065E+22</v>
      </c>
      <c r="LHE28" s="613">
        <f t="shared" ref="LHE28" si="4185">LHC$28*$C$28</f>
        <v>1.7921598352587466E+22</v>
      </c>
      <c r="LHG28" s="613">
        <f t="shared" ref="LHG28" si="4186">LHE$28*$C$28</f>
        <v>1.8100814336113341E+22</v>
      </c>
      <c r="LHI28" s="613">
        <f t="shared" ref="LHI28" si="4187">LHG$28*$C$28</f>
        <v>1.8281822479474475E+22</v>
      </c>
      <c r="LHK28" s="613">
        <f t="shared" ref="LHK28" si="4188">LHI$28*$C$28</f>
        <v>1.8464640704269219E+22</v>
      </c>
      <c r="LHM28" s="613">
        <f t="shared" ref="LHM28" si="4189">LHK$28*$C$28</f>
        <v>1.8649287111311912E+22</v>
      </c>
      <c r="LHO28" s="613">
        <f t="shared" ref="LHO28" si="4190">LHM$28*$C$28</f>
        <v>1.883577998242503E+22</v>
      </c>
      <c r="LHQ28" s="613">
        <f t="shared" ref="LHQ28" si="4191">LHO$28*$C$28</f>
        <v>1.9024137782249281E+22</v>
      </c>
      <c r="LHS28" s="613">
        <f t="shared" ref="LHS28" si="4192">LHQ$28*$C$28</f>
        <v>1.9214379160071773E+22</v>
      </c>
      <c r="LHU28" s="613">
        <f t="shared" ref="LHU28" si="4193">LHS$28*$C$28</f>
        <v>1.9406522951672491E+22</v>
      </c>
      <c r="LHW28" s="613">
        <f t="shared" ref="LHW28" si="4194">LHU$28*$C$28</f>
        <v>1.9600588181189215E+22</v>
      </c>
      <c r="LHY28" s="613">
        <f t="shared" ref="LHY28" si="4195">LHW$28*$C$28</f>
        <v>1.9796594063001107E+22</v>
      </c>
      <c r="LIA28" s="613">
        <f t="shared" ref="LIA28" si="4196">LHY$28*$C$28</f>
        <v>1.999456000363112E+22</v>
      </c>
      <c r="LIC28" s="613">
        <f t="shared" ref="LIC28" si="4197">LIA$28*$C$28</f>
        <v>2.0194505603667433E+22</v>
      </c>
      <c r="LIE28" s="613">
        <f t="shared" ref="LIE28" si="4198">LIC$28*$C$28</f>
        <v>2.0396450659704106E+22</v>
      </c>
      <c r="LIG28" s="613">
        <f t="shared" ref="LIG28" si="4199">LIE$28*$C$28</f>
        <v>2.0600415166301148E+22</v>
      </c>
      <c r="LII28" s="613">
        <f t="shared" ref="LII28" si="4200">LIG$28*$C$28</f>
        <v>2.0806419317964159E+22</v>
      </c>
      <c r="LIK28" s="613">
        <f t="shared" ref="LIK28" si="4201">LII$28*$C$28</f>
        <v>2.10144835111438E+22</v>
      </c>
      <c r="LIM28" s="613">
        <f t="shared" ref="LIM28" si="4202">LIK$28*$C$28</f>
        <v>2.1224628346255237E+22</v>
      </c>
      <c r="LIO28" s="613">
        <f t="shared" ref="LIO28" si="4203">LIM$28*$C$28</f>
        <v>2.1436874629717789E+22</v>
      </c>
      <c r="LIQ28" s="613">
        <f t="shared" ref="LIQ28" si="4204">LIO$28*$C$28</f>
        <v>2.1651243376014969E+22</v>
      </c>
      <c r="LIS28" s="613">
        <f t="shared" ref="LIS28" si="4205">LIQ$28*$C$28</f>
        <v>2.1867755809775118E+22</v>
      </c>
      <c r="LIU28" s="613">
        <f t="shared" ref="LIU28" si="4206">LIS$28*$C$28</f>
        <v>2.2086433367872869E+22</v>
      </c>
      <c r="LIW28" s="613">
        <f t="shared" ref="LIW28" si="4207">LIU$28*$C$28</f>
        <v>2.2307297701551598E+22</v>
      </c>
      <c r="LIY28" s="613">
        <f t="shared" ref="LIY28" si="4208">LIW$28*$C$28</f>
        <v>2.2530370678567115E+22</v>
      </c>
      <c r="LJA28" s="613">
        <f t="shared" ref="LJA28" si="4209">LIY$28*$C$28</f>
        <v>2.2755674385352787E+22</v>
      </c>
      <c r="LJC28" s="613">
        <f t="shared" ref="LJC28" si="4210">LJA$28*$C$28</f>
        <v>2.2983231129206313E+22</v>
      </c>
      <c r="LJE28" s="613">
        <f t="shared" ref="LJE28" si="4211">LJC$28*$C$28</f>
        <v>2.3213063440498378E+22</v>
      </c>
      <c r="LJG28" s="613">
        <f t="shared" ref="LJG28" si="4212">LJE$28*$C$28</f>
        <v>2.3445194074903363E+22</v>
      </c>
      <c r="LJI28" s="613">
        <f t="shared" ref="LJI28" si="4213">LJG$28*$C$28</f>
        <v>2.3679646015652396E+22</v>
      </c>
      <c r="LJK28" s="613">
        <f t="shared" ref="LJK28" si="4214">LJI$28*$C$28</f>
        <v>2.3916442475808919E+22</v>
      </c>
      <c r="LJM28" s="613">
        <f t="shared" ref="LJM28" si="4215">LJK$28*$C$28</f>
        <v>2.4155606900567007E+22</v>
      </c>
      <c r="LJO28" s="613">
        <f t="shared" ref="LJO28" si="4216">LJM$28*$C$28</f>
        <v>2.4397162969572678E+22</v>
      </c>
      <c r="LJQ28" s="613">
        <f t="shared" ref="LJQ28" si="4217">LJO$28*$C$28</f>
        <v>2.4641134599268406E+22</v>
      </c>
      <c r="LJS28" s="613">
        <f t="shared" ref="LJS28" si="4218">LJQ$28*$C$28</f>
        <v>2.4887545945261089E+22</v>
      </c>
      <c r="LJU28" s="613">
        <f t="shared" ref="LJU28" si="4219">LJS$28*$C$28</f>
        <v>2.51364214047137E+22</v>
      </c>
      <c r="LJW28" s="613">
        <f t="shared" ref="LJW28" si="4220">LJU$28*$C$28</f>
        <v>2.5387785618760835E+22</v>
      </c>
      <c r="LJY28" s="613">
        <f t="shared" ref="LJY28" si="4221">LJW$28*$C$28</f>
        <v>2.5641663474948442E+22</v>
      </c>
      <c r="LKA28" s="613">
        <f t="shared" ref="LKA28" si="4222">LJY$28*$C$28</f>
        <v>2.5898080109697924E+22</v>
      </c>
      <c r="LKC28" s="613">
        <f t="shared" ref="LKC28" si="4223">LKA$28*$C$28</f>
        <v>2.6157060910794903E+22</v>
      </c>
      <c r="LKE28" s="613">
        <f t="shared" ref="LKE28" si="4224">LKC$28*$C$28</f>
        <v>2.641863151990285E+22</v>
      </c>
      <c r="LKG28" s="613">
        <f t="shared" ref="LKG28" si="4225">LKE$28*$C$28</f>
        <v>2.6682817835101879E+22</v>
      </c>
      <c r="LKI28" s="613">
        <f t="shared" ref="LKI28" si="4226">LKG$28*$C$28</f>
        <v>2.6949646013452897E+22</v>
      </c>
      <c r="LKK28" s="613">
        <f t="shared" ref="LKK28" si="4227">LKI$28*$C$28</f>
        <v>2.7219142473587425E+22</v>
      </c>
      <c r="LKM28" s="613">
        <f t="shared" ref="LKM28" si="4228">LKK$28*$C$28</f>
        <v>2.7491333898323299E+22</v>
      </c>
      <c r="LKO28" s="613">
        <f t="shared" ref="LKO28" si="4229">LKM$28*$C$28</f>
        <v>2.7766247237306534E+22</v>
      </c>
      <c r="LKQ28" s="613">
        <f t="shared" ref="LKQ28" si="4230">LKO$28*$C$28</f>
        <v>2.8043909709679599E+22</v>
      </c>
      <c r="LKS28" s="613">
        <f t="shared" ref="LKS28" si="4231">LKQ$28*$C$28</f>
        <v>2.8324348806776394E+22</v>
      </c>
      <c r="LKU28" s="613">
        <f t="shared" ref="LKU28" si="4232">LKS$28*$C$28</f>
        <v>2.8607592294844159E+22</v>
      </c>
      <c r="LKW28" s="613">
        <f t="shared" ref="LKW28" si="4233">LKU$28*$C$28</f>
        <v>2.8893668217792603E+22</v>
      </c>
      <c r="LKY28" s="613">
        <f t="shared" ref="LKY28" si="4234">LKW$28*$C$28</f>
        <v>2.9182604899970529E+22</v>
      </c>
      <c r="LLA28" s="613">
        <f t="shared" ref="LLA28" si="4235">LKY$28*$C$28</f>
        <v>2.9474430948970236E+22</v>
      </c>
      <c r="LLC28" s="613">
        <f t="shared" ref="LLC28" si="4236">LLA$28*$C$28</f>
        <v>2.9769175258459938E+22</v>
      </c>
      <c r="LLE28" s="613">
        <f t="shared" ref="LLE28" si="4237">LLC$28*$C$28</f>
        <v>3.0066867011044537E+22</v>
      </c>
      <c r="LLG28" s="613">
        <f t="shared" ref="LLG28" si="4238">LLE$28*$C$28</f>
        <v>3.0367535681154983E+22</v>
      </c>
      <c r="LLI28" s="613">
        <f t="shared" ref="LLI28" si="4239">LLG$28*$C$28</f>
        <v>3.0671211037966534E+22</v>
      </c>
      <c r="LLK28" s="613">
        <f t="shared" ref="LLK28" si="4240">LLI$28*$C$28</f>
        <v>3.0977923148346198E+22</v>
      </c>
      <c r="LLM28" s="613">
        <f t="shared" ref="LLM28" si="4241">LLK$28*$C$28</f>
        <v>3.128770237982966E+22</v>
      </c>
      <c r="LLO28" s="613">
        <f t="shared" ref="LLO28" si="4242">LLM$28*$C$28</f>
        <v>3.1600579403627958E+22</v>
      </c>
      <c r="LLQ28" s="613">
        <f t="shared" ref="LLQ28" si="4243">LLO$28*$C$28</f>
        <v>3.1916585197664238E+22</v>
      </c>
      <c r="LLS28" s="613">
        <f t="shared" ref="LLS28" si="4244">LLQ$28*$C$28</f>
        <v>3.2235751049640882E+22</v>
      </c>
      <c r="LLU28" s="613">
        <f t="shared" ref="LLU28" si="4245">LLS$28*$C$28</f>
        <v>3.2558108560137292E+22</v>
      </c>
      <c r="LLW28" s="613">
        <f t="shared" ref="LLW28" si="4246">LLU$28*$C$28</f>
        <v>3.2883689645738666E+22</v>
      </c>
      <c r="LLY28" s="613">
        <f t="shared" ref="LLY28" si="4247">LLW$28*$C$28</f>
        <v>3.3212526542196054E+22</v>
      </c>
      <c r="LMA28" s="613">
        <f t="shared" ref="LMA28" si="4248">LLY$28*$C$28</f>
        <v>3.3544651807618014E+22</v>
      </c>
      <c r="LMC28" s="613">
        <f t="shared" ref="LMC28" si="4249">LMA$28*$C$28</f>
        <v>3.3880098325694196E+22</v>
      </c>
      <c r="LME28" s="613">
        <f t="shared" ref="LME28" si="4250">LMC$28*$C$28</f>
        <v>3.4218899308951137E+22</v>
      </c>
      <c r="LMG28" s="613">
        <f t="shared" ref="LMG28" si="4251">LME$28*$C$28</f>
        <v>3.456108830204065E+22</v>
      </c>
      <c r="LMI28" s="613">
        <f t="shared" ref="LMI28" si="4252">LMG$28*$C$28</f>
        <v>3.4906699185061058E+22</v>
      </c>
      <c r="LMK28" s="613">
        <f t="shared" ref="LMK28" si="4253">LMI$28*$C$28</f>
        <v>3.5255766176911667E+22</v>
      </c>
      <c r="LMM28" s="613">
        <f t="shared" ref="LMM28" si="4254">LMK$28*$C$28</f>
        <v>3.5608323838680783E+22</v>
      </c>
      <c r="LMO28" s="613">
        <f t="shared" ref="LMO28" si="4255">LMM$28*$C$28</f>
        <v>3.5964407077067593E+22</v>
      </c>
      <c r="LMQ28" s="613">
        <f t="shared" ref="LMQ28" si="4256">LMO$28*$C$28</f>
        <v>3.6324051147838267E+22</v>
      </c>
      <c r="LMS28" s="613">
        <f t="shared" ref="LMS28" si="4257">LMQ$28*$C$28</f>
        <v>3.6687291659316651E+22</v>
      </c>
      <c r="LMU28" s="613">
        <f t="shared" ref="LMU28" si="4258">LMS$28*$C$28</f>
        <v>3.7054164575909818E+22</v>
      </c>
      <c r="LMW28" s="613">
        <f t="shared" ref="LMW28" si="4259">LMU$28*$C$28</f>
        <v>3.7424706221668917E+22</v>
      </c>
      <c r="LMY28" s="613">
        <f t="shared" ref="LMY28" si="4260">LMW$28*$C$28</f>
        <v>3.7798953283885606E+22</v>
      </c>
      <c r="LNA28" s="613">
        <f t="shared" ref="LNA28" si="4261">LMY$28*$C$28</f>
        <v>3.8176942816724464E+22</v>
      </c>
      <c r="LNC28" s="613">
        <f t="shared" ref="LNC28" si="4262">LNA$28*$C$28</f>
        <v>3.8558712244891707E+22</v>
      </c>
      <c r="LNE28" s="613">
        <f t="shared" ref="LNE28" si="4263">LNC$28*$C$28</f>
        <v>3.8944299367340628E+22</v>
      </c>
      <c r="LNG28" s="613">
        <f t="shared" ref="LNG28" si="4264">LNE$28*$C$28</f>
        <v>3.9333742361014033E+22</v>
      </c>
      <c r="LNI28" s="613">
        <f t="shared" ref="LNI28" si="4265">LNG$28*$C$28</f>
        <v>3.9727079784624178E+22</v>
      </c>
      <c r="LNK28" s="613">
        <f t="shared" ref="LNK28" si="4266">LNI$28*$C$28</f>
        <v>4.0124350582470423E+22</v>
      </c>
      <c r="LNM28" s="613">
        <f t="shared" ref="LNM28" si="4267">LNK$28*$C$28</f>
        <v>4.052559408829513E+22</v>
      </c>
      <c r="LNO28" s="613">
        <f t="shared" ref="LNO28" si="4268">LNM$28*$C$28</f>
        <v>4.0930850029178081E+22</v>
      </c>
      <c r="LNQ28" s="613">
        <f t="shared" ref="LNQ28" si="4269">LNO$28*$C$28</f>
        <v>4.1340158529469862E+22</v>
      </c>
      <c r="LNS28" s="613">
        <f t="shared" ref="LNS28" si="4270">LNQ$28*$C$28</f>
        <v>4.1753560114764563E+22</v>
      </c>
      <c r="LNU28" s="613">
        <f t="shared" ref="LNU28" si="4271">LNS$28*$C$28</f>
        <v>4.2171095715912207E+22</v>
      </c>
      <c r="LNW28" s="613">
        <f t="shared" ref="LNW28" si="4272">LNU$28*$C$28</f>
        <v>4.259280667307133E+22</v>
      </c>
      <c r="LNY28" s="613">
        <f t="shared" ref="LNY28" si="4273">LNW$28*$C$28</f>
        <v>4.3018734739802043E+22</v>
      </c>
      <c r="LOA28" s="613">
        <f t="shared" ref="LOA28" si="4274">LNY$28*$C$28</f>
        <v>4.3448922087200062E+22</v>
      </c>
      <c r="LOC28" s="613">
        <f t="shared" ref="LOC28" si="4275">LOA$28*$C$28</f>
        <v>4.3883411308072065E+22</v>
      </c>
      <c r="LOE28" s="613">
        <f t="shared" ref="LOE28" si="4276">LOC$28*$C$28</f>
        <v>4.4322245421152787E+22</v>
      </c>
      <c r="LOG28" s="613">
        <f t="shared" ref="LOG28" si="4277">LOE$28*$C$28</f>
        <v>4.4765467875364315E+22</v>
      </c>
      <c r="LOI28" s="613">
        <f t="shared" ref="LOI28" si="4278">LOG$28*$C$28</f>
        <v>4.5213122554117958E+22</v>
      </c>
      <c r="LOK28" s="613">
        <f t="shared" ref="LOK28" si="4279">LOI$28*$C$28</f>
        <v>4.5665253779659137E+22</v>
      </c>
      <c r="LOM28" s="613">
        <f t="shared" ref="LOM28" si="4280">LOK$28*$C$28</f>
        <v>4.6121906317455729E+22</v>
      </c>
      <c r="LOO28" s="613">
        <f t="shared" ref="LOO28" si="4281">LOM$28*$C$28</f>
        <v>4.6583125380630288E+22</v>
      </c>
      <c r="LOQ28" s="613">
        <f t="shared" ref="LOQ28" si="4282">LOO$28*$C$28</f>
        <v>4.704895663443659E+22</v>
      </c>
      <c r="LOS28" s="613">
        <f t="shared" ref="LOS28" si="4283">LOQ$28*$C$28</f>
        <v>4.7519446200780956E+22</v>
      </c>
      <c r="LOU28" s="613">
        <f t="shared" ref="LOU28" si="4284">LOS$28*$C$28</f>
        <v>4.7994640662788768E+22</v>
      </c>
      <c r="LOW28" s="613">
        <f t="shared" ref="LOW28" si="4285">LOU$28*$C$28</f>
        <v>4.8474587069416657E+22</v>
      </c>
      <c r="LOY28" s="613">
        <f t="shared" ref="LOY28" si="4286">LOW$28*$C$28</f>
        <v>4.8959332940110828E+22</v>
      </c>
      <c r="LPA28" s="613">
        <f t="shared" ref="LPA28" si="4287">LOY$28*$C$28</f>
        <v>4.9448926269511939E+22</v>
      </c>
      <c r="LPC28" s="613">
        <f t="shared" ref="LPC28" si="4288">LPA$28*$C$28</f>
        <v>4.994341553220706E+22</v>
      </c>
      <c r="LPE28" s="613">
        <f t="shared" ref="LPE28" si="4289">LPC$28*$C$28</f>
        <v>5.0442849687529134E+22</v>
      </c>
      <c r="LPG28" s="613">
        <f t="shared" ref="LPG28" si="4290">LPE$28*$C$28</f>
        <v>5.0947278184404425E+22</v>
      </c>
      <c r="LPI28" s="613">
        <f t="shared" ref="LPI28" si="4291">LPG$28*$C$28</f>
        <v>5.1456750966248472E+22</v>
      </c>
      <c r="LPK28" s="613">
        <f t="shared" ref="LPK28" si="4292">LPI$28*$C$28</f>
        <v>5.1971318475910961E+22</v>
      </c>
      <c r="LPM28" s="613">
        <f t="shared" ref="LPM28" si="4293">LPK$28*$C$28</f>
        <v>5.2491031660670067E+22</v>
      </c>
      <c r="LPO28" s="613">
        <f t="shared" ref="LPO28" si="4294">LPM$28*$C$28</f>
        <v>5.3015941977276764E+22</v>
      </c>
      <c r="LPQ28" s="613">
        <f t="shared" ref="LPQ28" si="4295">LPO$28*$C$28</f>
        <v>5.3546101397049531E+22</v>
      </c>
      <c r="LPS28" s="613">
        <f t="shared" ref="LPS28" si="4296">LPQ$28*$C$28</f>
        <v>5.4081562411020029E+22</v>
      </c>
      <c r="LPU28" s="613">
        <f t="shared" ref="LPU28" si="4297">LPS$28*$C$28</f>
        <v>5.4622378035130227E+22</v>
      </c>
      <c r="LPW28" s="613">
        <f t="shared" ref="LPW28" si="4298">LPU$28*$C$28</f>
        <v>5.5168601815481531E+22</v>
      </c>
      <c r="LPY28" s="613">
        <f t="shared" ref="LPY28" si="4299">LPW$28*$C$28</f>
        <v>5.5720287833636347E+22</v>
      </c>
      <c r="LQA28" s="613">
        <f t="shared" ref="LQA28" si="4300">LPY$28*$C$28</f>
        <v>5.6277490711972708E+22</v>
      </c>
      <c r="LQC28" s="613">
        <f t="shared" ref="LQC28" si="4301">LQA$28*$C$28</f>
        <v>5.6840265619092439E+22</v>
      </c>
      <c r="LQE28" s="613">
        <f t="shared" ref="LQE28" si="4302">LQC$28*$C$28</f>
        <v>5.7408668275283363E+22</v>
      </c>
      <c r="LQG28" s="613">
        <f t="shared" ref="LQG28" si="4303">LQE$28*$C$28</f>
        <v>5.7982754958036196E+22</v>
      </c>
      <c r="LQI28" s="613">
        <f t="shared" ref="LQI28" si="4304">LQG$28*$C$28</f>
        <v>5.8562582507616555E+22</v>
      </c>
      <c r="LQK28" s="613">
        <f t="shared" ref="LQK28" si="4305">LQI$28*$C$28</f>
        <v>5.9148208332692722E+22</v>
      </c>
      <c r="LQM28" s="613">
        <f t="shared" ref="LQM28" si="4306">LQK$28*$C$28</f>
        <v>5.973969041601965E+22</v>
      </c>
      <c r="LQO28" s="613">
        <f t="shared" ref="LQO28" si="4307">LQM$28*$C$28</f>
        <v>6.0337087320179845E+22</v>
      </c>
      <c r="LQQ28" s="613">
        <f t="shared" ref="LQQ28" si="4308">LQO$28*$C$28</f>
        <v>6.0940458193381644E+22</v>
      </c>
      <c r="LQS28" s="613">
        <f t="shared" ref="LQS28" si="4309">LQQ$28*$C$28</f>
        <v>6.1549862775315459E+22</v>
      </c>
      <c r="LQU28" s="613">
        <f t="shared" ref="LQU28" si="4310">LQS$28*$C$28</f>
        <v>6.2165361403068611E+22</v>
      </c>
      <c r="LQW28" s="613">
        <f t="shared" ref="LQW28" si="4311">LQU$28*$C$28</f>
        <v>6.27870150170993E+22</v>
      </c>
      <c r="LQY28" s="613">
        <f t="shared" ref="LQY28" si="4312">LQW$28*$C$28</f>
        <v>6.3414885167270289E+22</v>
      </c>
      <c r="LRA28" s="613">
        <f t="shared" ref="LRA28" si="4313">LQY$28*$C$28</f>
        <v>6.4049034018942995E+22</v>
      </c>
      <c r="LRC28" s="613">
        <f t="shared" ref="LRC28" si="4314">LRA$28*$C$28</f>
        <v>6.4689524359132424E+22</v>
      </c>
      <c r="LRE28" s="613">
        <f t="shared" ref="LRE28" si="4315">LRC$28*$C$28</f>
        <v>6.5336419602723745E+22</v>
      </c>
      <c r="LRG28" s="613">
        <f t="shared" ref="LRG28" si="4316">LRE$28*$C$28</f>
        <v>6.598978379875098E+22</v>
      </c>
      <c r="LRI28" s="613">
        <f t="shared" ref="LRI28" si="4317">LRG$28*$C$28</f>
        <v>6.6649681636738493E+22</v>
      </c>
      <c r="LRK28" s="613">
        <f t="shared" ref="LRK28" si="4318">LRI$28*$C$28</f>
        <v>6.7316178453105882E+22</v>
      </c>
      <c r="LRM28" s="613">
        <f t="shared" ref="LRM28" si="4319">LRK$28*$C$28</f>
        <v>6.7989340237636945E+22</v>
      </c>
      <c r="LRO28" s="613">
        <f t="shared" ref="LRO28" si="4320">LRM$28*$C$28</f>
        <v>6.8669233640013319E+22</v>
      </c>
      <c r="LRQ28" s="613">
        <f t="shared" ref="LRQ28" si="4321">LRO$28*$C$28</f>
        <v>6.9355925976413452E+22</v>
      </c>
      <c r="LRS28" s="613">
        <f t="shared" ref="LRS28" si="4322">LRQ$28*$C$28</f>
        <v>7.0049485236177585E+22</v>
      </c>
      <c r="LRU28" s="613">
        <f t="shared" ref="LRU28" si="4323">LRS$28*$C$28</f>
        <v>7.0749980088539363E+22</v>
      </c>
      <c r="LRW28" s="613">
        <f t="shared" ref="LRW28" si="4324">LRU$28*$C$28</f>
        <v>7.1457479889424757E+22</v>
      </c>
      <c r="LRY28" s="613">
        <f t="shared" ref="LRY28" si="4325">LRW$28*$C$28</f>
        <v>7.2172054688319008E+22</v>
      </c>
      <c r="LSA28" s="613">
        <f t="shared" ref="LSA28" si="4326">LRY$28*$C$28</f>
        <v>7.2893775235202194E+22</v>
      </c>
      <c r="LSC28" s="613">
        <f t="shared" ref="LSC28" si="4327">LSA$28*$C$28</f>
        <v>7.3622712987554217E+22</v>
      </c>
      <c r="LSE28" s="613">
        <f t="shared" ref="LSE28" si="4328">LSC$28*$C$28</f>
        <v>7.4358940117429758E+22</v>
      </c>
      <c r="LSG28" s="613">
        <f t="shared" ref="LSG28" si="4329">LSE$28*$C$28</f>
        <v>7.5102529518604057E+22</v>
      </c>
      <c r="LSI28" s="613">
        <f t="shared" ref="LSI28" si="4330">LSG$28*$C$28</f>
        <v>7.5853554813790092E+22</v>
      </c>
      <c r="LSK28" s="613">
        <f t="shared" ref="LSK28" si="4331">LSI$28*$C$28</f>
        <v>7.6612090361927996E+22</v>
      </c>
      <c r="LSM28" s="613">
        <f t="shared" ref="LSM28" si="4332">LSK$28*$C$28</f>
        <v>7.7378211265547285E+22</v>
      </c>
      <c r="LSO28" s="613">
        <f t="shared" ref="LSO28" si="4333">LSM$28*$C$28</f>
        <v>7.8151993378202762E+22</v>
      </c>
      <c r="LSQ28" s="613">
        <f t="shared" ref="LSQ28" si="4334">LSO$28*$C$28</f>
        <v>7.8933513311984797E+22</v>
      </c>
      <c r="LSS28" s="613">
        <f t="shared" ref="LSS28" si="4335">LSQ$28*$C$28</f>
        <v>7.9722848445104642E+22</v>
      </c>
      <c r="LSU28" s="613">
        <f t="shared" ref="LSU28" si="4336">LSS$28*$C$28</f>
        <v>8.0520076929555694E+22</v>
      </c>
      <c r="LSW28" s="613">
        <f t="shared" ref="LSW28" si="4337">LSU$28*$C$28</f>
        <v>8.1325277698851252E+22</v>
      </c>
      <c r="LSY28" s="613">
        <f t="shared" ref="LSY28" si="4338">LSW$28*$C$28</f>
        <v>8.213853047583976E+22</v>
      </c>
      <c r="LTA28" s="613">
        <f t="shared" ref="LTA28" si="4339">LSY$28*$C$28</f>
        <v>8.2959915780598154E+22</v>
      </c>
      <c r="LTC28" s="613">
        <f t="shared" ref="LTC28" si="4340">LTA$28*$C$28</f>
        <v>8.3789514938404139E+22</v>
      </c>
      <c r="LTE28" s="613">
        <f t="shared" ref="LTE28" si="4341">LTC$28*$C$28</f>
        <v>8.4627410087788186E+22</v>
      </c>
      <c r="LTG28" s="613">
        <f t="shared" ref="LTG28" si="4342">LTE$28*$C$28</f>
        <v>8.5473684188666064E+22</v>
      </c>
      <c r="LTI28" s="613">
        <f t="shared" ref="LTI28" si="4343">LTG$28*$C$28</f>
        <v>8.6328421030552731E+22</v>
      </c>
      <c r="LTK28" s="613">
        <f t="shared" ref="LTK28" si="4344">LTI$28*$C$28</f>
        <v>8.7191705240858266E+22</v>
      </c>
      <c r="LTM28" s="613">
        <f t="shared" ref="LTM28" si="4345">LTK$28*$C$28</f>
        <v>8.8063622293266845E+22</v>
      </c>
      <c r="LTO28" s="613">
        <f t="shared" ref="LTO28" si="4346">LTM$28*$C$28</f>
        <v>8.8944258516199506E+22</v>
      </c>
      <c r="LTQ28" s="613">
        <f t="shared" ref="LTQ28" si="4347">LTO$28*$C$28</f>
        <v>8.9833701101361504E+22</v>
      </c>
      <c r="LTS28" s="613">
        <f t="shared" ref="LTS28" si="4348">LTQ$28*$C$28</f>
        <v>9.0732038112375124E+22</v>
      </c>
      <c r="LTU28" s="613">
        <f t="shared" ref="LTU28" si="4349">LTS$28*$C$28</f>
        <v>9.1639358493498871E+22</v>
      </c>
      <c r="LTW28" s="613">
        <f t="shared" ref="LTW28" si="4350">LTU$28*$C$28</f>
        <v>9.2555752078433864E+22</v>
      </c>
      <c r="LTY28" s="613">
        <f t="shared" ref="LTY28" si="4351">LTW$28*$C$28</f>
        <v>9.3481309599218207E+22</v>
      </c>
      <c r="LUA28" s="613">
        <f t="shared" ref="LUA28" si="4352">LTY$28*$C$28</f>
        <v>9.4416122695210387E+22</v>
      </c>
      <c r="LUC28" s="613">
        <f t="shared" ref="LUC28" si="4353">LUA$28*$C$28</f>
        <v>9.5360283922162489E+22</v>
      </c>
      <c r="LUE28" s="613">
        <f t="shared" ref="LUE28" si="4354">LUC$28*$C$28</f>
        <v>9.6313886761384115E+22</v>
      </c>
      <c r="LUG28" s="613">
        <f t="shared" ref="LUG28" si="4355">LUE$28*$C$28</f>
        <v>9.7277025628997957E+22</v>
      </c>
      <c r="LUI28" s="613">
        <f t="shared" ref="LUI28" si="4356">LUG$28*$C$28</f>
        <v>9.8249795885287938E+22</v>
      </c>
      <c r="LUK28" s="613">
        <f t="shared" ref="LUK28" si="4357">LUI$28*$C$28</f>
        <v>9.9232293844140813E+22</v>
      </c>
      <c r="LUM28" s="613">
        <f t="shared" ref="LUM28" si="4358">LUK$28*$C$28</f>
        <v>1.0022461678258222E+23</v>
      </c>
      <c r="LUO28" s="613">
        <f t="shared" ref="LUO28" si="4359">LUM$28*$C$28</f>
        <v>1.0122686295040805E+23</v>
      </c>
      <c r="LUQ28" s="613">
        <f t="shared" ref="LUQ28" si="4360">LUO$28*$C$28</f>
        <v>1.0223913157991213E+23</v>
      </c>
      <c r="LUS28" s="613">
        <f t="shared" ref="LUS28" si="4361">LUQ$28*$C$28</f>
        <v>1.0326152289571125E+23</v>
      </c>
      <c r="LUU28" s="613">
        <f t="shared" ref="LUU28" si="4362">LUS$28*$C$28</f>
        <v>1.0429413812466836E+23</v>
      </c>
      <c r="LUW28" s="613">
        <f t="shared" ref="LUW28" si="4363">LUU$28*$C$28</f>
        <v>1.0533707950591504E+23</v>
      </c>
      <c r="LUY28" s="613">
        <f t="shared" ref="LUY28" si="4364">LUW$28*$C$28</f>
        <v>1.063904503009742E+23</v>
      </c>
      <c r="LVA28" s="613">
        <f t="shared" ref="LVA28" si="4365">LUY$28*$C$28</f>
        <v>1.0745435480398394E+23</v>
      </c>
      <c r="LVC28" s="613">
        <f t="shared" ref="LVC28" si="4366">LVA$28*$C$28</f>
        <v>1.0852889835202379E+23</v>
      </c>
      <c r="LVE28" s="613">
        <f t="shared" ref="LVE28" si="4367">LVC$28*$C$28</f>
        <v>1.0961418733554404E+23</v>
      </c>
      <c r="LVG28" s="613">
        <f t="shared" ref="LVG28" si="4368">LVE$28*$C$28</f>
        <v>1.1071032920889947E+23</v>
      </c>
      <c r="LVI28" s="613">
        <f t="shared" ref="LVI28" si="4369">LVG$28*$C$28</f>
        <v>1.1181743250098847E+23</v>
      </c>
      <c r="LVK28" s="613">
        <f t="shared" ref="LVK28" si="4370">LVI$28*$C$28</f>
        <v>1.1293560682599834E+23</v>
      </c>
      <c r="LVM28" s="613">
        <f t="shared" ref="LVM28" si="4371">LVK$28*$C$28</f>
        <v>1.1406496289425833E+23</v>
      </c>
      <c r="LVO28" s="613">
        <f t="shared" ref="LVO28" si="4372">LVM$28*$C$28</f>
        <v>1.1520561252320091E+23</v>
      </c>
      <c r="LVQ28" s="613">
        <f t="shared" ref="LVQ28" si="4373">LVO$28*$C$28</f>
        <v>1.1635766864843292E+23</v>
      </c>
      <c r="LVS28" s="613">
        <f t="shared" ref="LVS28" si="4374">LVQ$28*$C$28</f>
        <v>1.1752124533491726E+23</v>
      </c>
      <c r="LVU28" s="613">
        <f t="shared" ref="LVU28" si="4375">LVS$28*$C$28</f>
        <v>1.1869645778826644E+23</v>
      </c>
      <c r="LVW28" s="613">
        <f t="shared" ref="LVW28" si="4376">LVU$28*$C$28</f>
        <v>1.1988342236614911E+23</v>
      </c>
      <c r="LVY28" s="613">
        <f t="shared" ref="LVY28" si="4377">LVW$28*$C$28</f>
        <v>1.2108225658981059E+23</v>
      </c>
      <c r="LWA28" s="613">
        <f t="shared" ref="LWA28" si="4378">LVY$28*$C$28</f>
        <v>1.222930791557087E+23</v>
      </c>
      <c r="LWC28" s="613">
        <f t="shared" ref="LWC28" si="4379">LWA$28*$C$28</f>
        <v>1.235160099472658E+23</v>
      </c>
      <c r="LWE28" s="613">
        <f t="shared" ref="LWE28" si="4380">LWC$28*$C$28</f>
        <v>1.2475117004673846E+23</v>
      </c>
      <c r="LWG28" s="613">
        <f t="shared" ref="LWG28" si="4381">LWE$28*$C$28</f>
        <v>1.2599868174720585E+23</v>
      </c>
      <c r="LWI28" s="613">
        <f t="shared" ref="LWI28" si="4382">LWG$28*$C$28</f>
        <v>1.272586685646779E+23</v>
      </c>
      <c r="LWK28" s="613">
        <f t="shared" ref="LWK28" si="4383">LWI$28*$C$28</f>
        <v>1.2853125525032468E+23</v>
      </c>
      <c r="LWM28" s="613">
        <f t="shared" ref="LWM28" si="4384">LWK$28*$C$28</f>
        <v>1.2981656780282794E+23</v>
      </c>
      <c r="LWO28" s="613">
        <f t="shared" ref="LWO28" si="4385">LWM$28*$C$28</f>
        <v>1.3111473348085622E+23</v>
      </c>
      <c r="LWQ28" s="613">
        <f t="shared" ref="LWQ28" si="4386">LWO$28*$C$28</f>
        <v>1.3242588081566479E+23</v>
      </c>
      <c r="LWS28" s="613">
        <f t="shared" ref="LWS28" si="4387">LWQ$28*$C$28</f>
        <v>1.3375013962382144E+23</v>
      </c>
      <c r="LWU28" s="613">
        <f t="shared" ref="LWU28" si="4388">LWS$28*$C$28</f>
        <v>1.3508764102005966E+23</v>
      </c>
      <c r="LWW28" s="613">
        <f t="shared" ref="LWW28" si="4389">LWU$28*$C$28</f>
        <v>1.3643851743026026E+23</v>
      </c>
      <c r="LWY28" s="613">
        <f t="shared" ref="LWY28" si="4390">LWW$28*$C$28</f>
        <v>1.3780290260456286E+23</v>
      </c>
      <c r="LXA28" s="613">
        <f t="shared" ref="LXA28" si="4391">LWY$28*$C$28</f>
        <v>1.3918093163060849E+23</v>
      </c>
      <c r="LXC28" s="613">
        <f t="shared" ref="LXC28" si="4392">LXA$28*$C$28</f>
        <v>1.4057274094691458E+23</v>
      </c>
      <c r="LXE28" s="613">
        <f t="shared" ref="LXE28" si="4393">LXC$28*$C$28</f>
        <v>1.4197846835638374E+23</v>
      </c>
      <c r="LXG28" s="613">
        <f t="shared" ref="LXG28" si="4394">LXE$28*$C$28</f>
        <v>1.4339825303994757E+23</v>
      </c>
      <c r="LXI28" s="613">
        <f t="shared" ref="LXI28" si="4395">LXG$28*$C$28</f>
        <v>1.4483223557034706E+23</v>
      </c>
      <c r="LXK28" s="613">
        <f t="shared" ref="LXK28" si="4396">LXI$28*$C$28</f>
        <v>1.4628055792605052E+23</v>
      </c>
      <c r="LXM28" s="613">
        <f t="shared" ref="LXM28" si="4397">LXK$28*$C$28</f>
        <v>1.4774336350531103E+23</v>
      </c>
      <c r="LXO28" s="613">
        <f t="shared" ref="LXO28" si="4398">LXM$28*$C$28</f>
        <v>1.4922079714036414E+23</v>
      </c>
      <c r="LXQ28" s="613">
        <f t="shared" ref="LXQ28" si="4399">LXO$28*$C$28</f>
        <v>1.5071300511176778E+23</v>
      </c>
      <c r="LXS28" s="613">
        <f t="shared" ref="LXS28" si="4400">LXQ$28*$C$28</f>
        <v>1.5222013516288547E+23</v>
      </c>
      <c r="LXU28" s="613">
        <f t="shared" ref="LXU28" si="4401">LXS$28*$C$28</f>
        <v>1.5374233651451433E+23</v>
      </c>
      <c r="LXW28" s="613">
        <f t="shared" ref="LXW28" si="4402">LXU$28*$C$28</f>
        <v>1.5527975987965948E+23</v>
      </c>
      <c r="LXY28" s="613">
        <f t="shared" ref="LXY28" si="4403">LXW$28*$C$28</f>
        <v>1.5683255747845606E+23</v>
      </c>
      <c r="LYA28" s="613">
        <f t="shared" ref="LYA28" si="4404">LXY$28*$C$28</f>
        <v>1.5840088305324062E+23</v>
      </c>
      <c r="LYC28" s="613">
        <f t="shared" ref="LYC28" si="4405">LYA$28*$C$28</f>
        <v>1.5998489188377303E+23</v>
      </c>
      <c r="LYE28" s="613">
        <f t="shared" ref="LYE28" si="4406">LYC$28*$C$28</f>
        <v>1.6158474080261076E+23</v>
      </c>
      <c r="LYG28" s="613">
        <f t="shared" ref="LYG28" si="4407">LYE$28*$C$28</f>
        <v>1.6320058821063687E+23</v>
      </c>
      <c r="LYI28" s="613">
        <f t="shared" ref="LYI28" si="4408">LYG$28*$C$28</f>
        <v>1.6483259409274324E+23</v>
      </c>
      <c r="LYK28" s="613">
        <f t="shared" ref="LYK28" si="4409">LYI$28*$C$28</f>
        <v>1.6648092003367069E+23</v>
      </c>
      <c r="LYM28" s="613">
        <f t="shared" ref="LYM28" si="4410">LYK$28*$C$28</f>
        <v>1.681457292340074E+23</v>
      </c>
      <c r="LYO28" s="613">
        <f t="shared" ref="LYO28" si="4411">LYM$28*$C$28</f>
        <v>1.6982718652634747E+23</v>
      </c>
      <c r="LYQ28" s="613">
        <f t="shared" ref="LYQ28" si="4412">LYO$28*$C$28</f>
        <v>1.7152545839161096E+23</v>
      </c>
      <c r="LYS28" s="613">
        <f t="shared" ref="LYS28" si="4413">LYQ$28*$C$28</f>
        <v>1.7324071297552706E+23</v>
      </c>
      <c r="LYU28" s="613">
        <f t="shared" ref="LYU28" si="4414">LYS$28*$C$28</f>
        <v>1.7497312010528235E+23</v>
      </c>
      <c r="LYW28" s="613">
        <f t="shared" ref="LYW28" si="4415">LYU$28*$C$28</f>
        <v>1.7672285130633519E+23</v>
      </c>
      <c r="LYY28" s="613">
        <f t="shared" ref="LYY28" si="4416">LYW$28*$C$28</f>
        <v>1.7849007981939853E+23</v>
      </c>
      <c r="LZA28" s="613">
        <f t="shared" ref="LZA28" si="4417">LYY$28*$C$28</f>
        <v>1.8027498061759252E+23</v>
      </c>
      <c r="LZC28" s="613">
        <f t="shared" ref="LZC28" si="4418">LZA$28*$C$28</f>
        <v>1.8207773042376844E+23</v>
      </c>
      <c r="LZE28" s="613">
        <f t="shared" ref="LZE28" si="4419">LZC$28*$C$28</f>
        <v>1.8389850772800611E+23</v>
      </c>
      <c r="LZG28" s="613">
        <f t="shared" ref="LZG28" si="4420">LZE$28*$C$28</f>
        <v>1.8573749280528617E+23</v>
      </c>
      <c r="LZI28" s="613">
        <f t="shared" ref="LZI28" si="4421">LZG$28*$C$28</f>
        <v>1.8759486773333904E+23</v>
      </c>
      <c r="LZK28" s="613">
        <f t="shared" ref="LZK28" si="4422">LZI$28*$C$28</f>
        <v>1.8947081641067242E+23</v>
      </c>
      <c r="LZM28" s="613">
        <f t="shared" ref="LZM28" si="4423">LZK$28*$C$28</f>
        <v>1.9136552457477914E+23</v>
      </c>
      <c r="LZO28" s="613">
        <f t="shared" ref="LZO28" si="4424">LZM$28*$C$28</f>
        <v>1.9327917982052694E+23</v>
      </c>
      <c r="LZQ28" s="613">
        <f t="shared" ref="LZQ28" si="4425">LZO$28*$C$28</f>
        <v>1.9521197161873221E+23</v>
      </c>
      <c r="LZS28" s="613">
        <f t="shared" ref="LZS28" si="4426">LZQ$28*$C$28</f>
        <v>1.9716409133491954E+23</v>
      </c>
      <c r="LZU28" s="613">
        <f t="shared" ref="LZU28" si="4427">LZS$28*$C$28</f>
        <v>1.9913573224826874E+23</v>
      </c>
      <c r="LZW28" s="613">
        <f t="shared" ref="LZW28" si="4428">LZU$28*$C$28</f>
        <v>2.0112708957075144E+23</v>
      </c>
      <c r="LZY28" s="613">
        <f t="shared" ref="LZY28" si="4429">LZW$28*$C$28</f>
        <v>2.0313836046645895E+23</v>
      </c>
      <c r="MAA28" s="613">
        <f t="shared" ref="MAA28" si="4430">LZY$28*$C$28</f>
        <v>2.0516974407112355E+23</v>
      </c>
      <c r="MAC28" s="613">
        <f t="shared" ref="MAC28" si="4431">MAA$28*$C$28</f>
        <v>2.072214415118348E+23</v>
      </c>
      <c r="MAE28" s="613">
        <f t="shared" ref="MAE28" si="4432">MAC$28*$C$28</f>
        <v>2.0929365592695316E+23</v>
      </c>
      <c r="MAG28" s="613">
        <f t="shared" ref="MAG28" si="4433">MAE$28*$C$28</f>
        <v>2.1138659248622268E+23</v>
      </c>
      <c r="MAI28" s="613">
        <f t="shared" ref="MAI28" si="4434">MAG$28*$C$28</f>
        <v>2.1350045841108492E+23</v>
      </c>
      <c r="MAK28" s="613">
        <f t="shared" ref="MAK28" si="4435">MAI$28*$C$28</f>
        <v>2.1563546299519577E+23</v>
      </c>
      <c r="MAM28" s="613">
        <f t="shared" ref="MAM28" si="4436">MAK$28*$C$28</f>
        <v>2.1779181762514774E+23</v>
      </c>
      <c r="MAO28" s="613">
        <f t="shared" ref="MAO28" si="4437">MAM$28*$C$28</f>
        <v>2.1996973580139922E+23</v>
      </c>
      <c r="MAQ28" s="613">
        <f t="shared" ref="MAQ28" si="4438">MAO$28*$C$28</f>
        <v>2.2216943315941322E+23</v>
      </c>
      <c r="MAS28" s="613">
        <f t="shared" ref="MAS28" si="4439">MAQ$28*$C$28</f>
        <v>2.2439112749100737E+23</v>
      </c>
      <c r="MAU28" s="613">
        <f t="shared" ref="MAU28" si="4440">MAS$28*$C$28</f>
        <v>2.2663503876591743E+23</v>
      </c>
      <c r="MAW28" s="613">
        <f t="shared" ref="MAW28" si="4441">MAU$28*$C$28</f>
        <v>2.289013891535766E+23</v>
      </c>
      <c r="MAY28" s="613">
        <f t="shared" ref="MAY28" si="4442">MAW$28*$C$28</f>
        <v>2.3119040304511237E+23</v>
      </c>
      <c r="MBA28" s="613">
        <f t="shared" ref="MBA28" si="4443">MAY$28*$C$28</f>
        <v>2.3350230707556351E+23</v>
      </c>
      <c r="MBC28" s="613">
        <f t="shared" ref="MBC28" si="4444">MBA$28*$C$28</f>
        <v>2.3583733014631916E+23</v>
      </c>
      <c r="MBE28" s="613">
        <f t="shared" ref="MBE28" si="4445">MBC$28*$C$28</f>
        <v>2.3819570344778233E+23</v>
      </c>
      <c r="MBG28" s="613">
        <f t="shared" ref="MBG28" si="4446">MBE$28*$C$28</f>
        <v>2.4057766048226017E+23</v>
      </c>
      <c r="MBI28" s="613">
        <f t="shared" ref="MBI28" si="4447">MBG$28*$C$28</f>
        <v>2.4298343708708276E+23</v>
      </c>
      <c r="MBK28" s="613">
        <f t="shared" ref="MBK28" si="4448">MBI$28*$C$28</f>
        <v>2.4541327145795358E+23</v>
      </c>
      <c r="MBM28" s="613">
        <f t="shared" ref="MBM28" si="4449">MBK$28*$C$28</f>
        <v>2.4786740417253311E+23</v>
      </c>
      <c r="MBO28" s="613">
        <f t="shared" ref="MBO28" si="4450">MBM$28*$C$28</f>
        <v>2.5034607821425844E+23</v>
      </c>
      <c r="MBQ28" s="613">
        <f t="shared" ref="MBQ28" si="4451">MBO$28*$C$28</f>
        <v>2.5284953899640102E+23</v>
      </c>
      <c r="MBS28" s="613">
        <f t="shared" ref="MBS28" si="4452">MBQ$28*$C$28</f>
        <v>2.5537803438636503E+23</v>
      </c>
      <c r="MBU28" s="613">
        <f t="shared" ref="MBU28" si="4453">MBS$28*$C$28</f>
        <v>2.5793181473022869E+23</v>
      </c>
      <c r="MBW28" s="613">
        <f t="shared" ref="MBW28" si="4454">MBU$28*$C$28</f>
        <v>2.6051113287753098E+23</v>
      </c>
      <c r="MBY28" s="613">
        <f t="shared" ref="MBY28" si="4455">MBW$28*$C$28</f>
        <v>2.6311624420630629E+23</v>
      </c>
      <c r="MCA28" s="613">
        <f t="shared" ref="MCA28" si="4456">MBY$28*$C$28</f>
        <v>2.6574740664836935E+23</v>
      </c>
      <c r="MCC28" s="613">
        <f t="shared" ref="MCC28" si="4457">MCA$28*$C$28</f>
        <v>2.6840488071485305E+23</v>
      </c>
      <c r="MCE28" s="613">
        <f t="shared" ref="MCE28" si="4458">MCC$28*$C$28</f>
        <v>2.710889295220016E+23</v>
      </c>
      <c r="MCG28" s="613">
        <f t="shared" ref="MCG28" si="4459">MCE$28*$C$28</f>
        <v>2.7379981881722161E+23</v>
      </c>
      <c r="MCI28" s="613">
        <f t="shared" ref="MCI28" si="4460">MCG$28*$C$28</f>
        <v>2.7653781700539383E+23</v>
      </c>
      <c r="MCK28" s="613">
        <f t="shared" ref="MCK28" si="4461">MCI$28*$C$28</f>
        <v>2.7930319517544775E+23</v>
      </c>
      <c r="MCM28" s="613">
        <f t="shared" ref="MCM28" si="4462">MCK$28*$C$28</f>
        <v>2.8209622712720224E+23</v>
      </c>
      <c r="MCO28" s="613">
        <f t="shared" ref="MCO28" si="4463">MCM$28*$C$28</f>
        <v>2.8491718939847426E+23</v>
      </c>
      <c r="MCQ28" s="613">
        <f t="shared" ref="MCQ28" si="4464">MCO$28*$C$28</f>
        <v>2.8776636129245901E+23</v>
      </c>
      <c r="MCS28" s="613">
        <f t="shared" ref="MCS28" si="4465">MCQ$28*$C$28</f>
        <v>2.9064402490538361E+23</v>
      </c>
      <c r="MCU28" s="613">
        <f t="shared" ref="MCU28" si="4466">MCS$28*$C$28</f>
        <v>2.9355046515443745E+23</v>
      </c>
      <c r="MCW28" s="613">
        <f t="shared" ref="MCW28" si="4467">MCU$28*$C$28</f>
        <v>2.9648596980598184E+23</v>
      </c>
      <c r="MCY28" s="613">
        <f t="shared" ref="MCY28" si="4468">MCW$28*$C$28</f>
        <v>2.9945082950404167E+23</v>
      </c>
      <c r="MDA28" s="613">
        <f t="shared" ref="MDA28" si="4469">MCY$28*$C$28</f>
        <v>3.0244533779908211E+23</v>
      </c>
      <c r="MDC28" s="613">
        <f t="shared" ref="MDC28" si="4470">MDA$28*$C$28</f>
        <v>3.0546979117707291E+23</v>
      </c>
      <c r="MDE28" s="613">
        <f t="shared" ref="MDE28" si="4471">MDC$28*$C$28</f>
        <v>3.0852448908884367E+23</v>
      </c>
      <c r="MDG28" s="613">
        <f t="shared" ref="MDG28" si="4472">MDE$28*$C$28</f>
        <v>3.1160973397973214E+23</v>
      </c>
      <c r="MDI28" s="613">
        <f t="shared" ref="MDI28" si="4473">MDG$28*$C$28</f>
        <v>3.1472583131952948E+23</v>
      </c>
      <c r="MDK28" s="613">
        <f t="shared" ref="MDK28" si="4474">MDI$28*$C$28</f>
        <v>3.1787308963272476E+23</v>
      </c>
      <c r="MDM28" s="613">
        <f t="shared" ref="MDM28" si="4475">MDK$28*$C$28</f>
        <v>3.21051820529052E+23</v>
      </c>
      <c r="MDO28" s="613">
        <f t="shared" ref="MDO28" si="4476">MDM$28*$C$28</f>
        <v>3.2426233873434255E+23</v>
      </c>
      <c r="MDQ28" s="613">
        <f t="shared" ref="MDQ28" si="4477">MDO$28*$C$28</f>
        <v>3.27504962121686E+23</v>
      </c>
      <c r="MDS28" s="613">
        <f t="shared" ref="MDS28" si="4478">MDQ$28*$C$28</f>
        <v>3.3078001174290285E+23</v>
      </c>
      <c r="MDU28" s="613">
        <f t="shared" ref="MDU28" si="4479">MDS$28*$C$28</f>
        <v>3.3408781186033187E+23</v>
      </c>
      <c r="MDW28" s="613">
        <f t="shared" ref="MDW28" si="4480">MDU$28*$C$28</f>
        <v>3.3742868997893522E+23</v>
      </c>
      <c r="MDY28" s="613">
        <f t="shared" ref="MDY28" si="4481">MDW$28*$C$28</f>
        <v>3.408029768787246E+23</v>
      </c>
      <c r="MEA28" s="613">
        <f t="shared" ref="MEA28" si="4482">MDY$28*$C$28</f>
        <v>3.4421100664751184E+23</v>
      </c>
      <c r="MEC28" s="613">
        <f t="shared" ref="MEC28" si="4483">MEA$28*$C$28</f>
        <v>3.4765311671398693E+23</v>
      </c>
      <c r="MEE28" s="613">
        <f t="shared" ref="MEE28" si="4484">MEC$28*$C$28</f>
        <v>3.5112964788112683E+23</v>
      </c>
      <c r="MEG28" s="613">
        <f t="shared" ref="MEG28" si="4485">MEE$28*$C$28</f>
        <v>3.5464094435993807E+23</v>
      </c>
      <c r="MEI28" s="613">
        <f t="shared" ref="MEI28" si="4486">MEG$28*$C$28</f>
        <v>3.5818735380353745E+23</v>
      </c>
      <c r="MEK28" s="613">
        <f t="shared" ref="MEK28" si="4487">MEI$28*$C$28</f>
        <v>3.6176922734157286E+23</v>
      </c>
      <c r="MEM28" s="613">
        <f t="shared" ref="MEM28" si="4488">MEK$28*$C$28</f>
        <v>3.6538691961498859E+23</v>
      </c>
      <c r="MEO28" s="613">
        <f t="shared" ref="MEO28" si="4489">MEM$28*$C$28</f>
        <v>3.6904078881113848E+23</v>
      </c>
      <c r="MEQ28" s="613">
        <f t="shared" ref="MEQ28" si="4490">MEO$28*$C$28</f>
        <v>3.7273119669924988E+23</v>
      </c>
      <c r="MES28" s="613">
        <f t="shared" ref="MES28" si="4491">MEQ$28*$C$28</f>
        <v>3.7645850866624241E+23</v>
      </c>
      <c r="MEU28" s="613">
        <f t="shared" ref="MEU28" si="4492">MES$28*$C$28</f>
        <v>3.8022309375290485E+23</v>
      </c>
      <c r="MEW28" s="613">
        <f t="shared" ref="MEW28" si="4493">MEU$28*$C$28</f>
        <v>3.8402532469043391E+23</v>
      </c>
      <c r="MEY28" s="613">
        <f t="shared" ref="MEY28" si="4494">MEW$28*$C$28</f>
        <v>3.8786557793733822E+23</v>
      </c>
      <c r="MFA28" s="613">
        <f t="shared" ref="MFA28" si="4495">MEY$28*$C$28</f>
        <v>3.9174423371671163E+23</v>
      </c>
      <c r="MFC28" s="613">
        <f t="shared" ref="MFC28" si="4496">MFA$28*$C$28</f>
        <v>3.9566167605387878E+23</v>
      </c>
      <c r="MFE28" s="613">
        <f t="shared" ref="MFE28" si="4497">MFC$28*$C$28</f>
        <v>3.9961829281441758E+23</v>
      </c>
      <c r="MFG28" s="613">
        <f t="shared" ref="MFG28" si="4498">MFE$28*$C$28</f>
        <v>4.0361447574256179E+23</v>
      </c>
      <c r="MFI28" s="613">
        <f t="shared" ref="MFI28" si="4499">MFG$28*$C$28</f>
        <v>4.0765062049998739E+23</v>
      </c>
      <c r="MFK28" s="613">
        <f t="shared" ref="MFK28" si="4500">MFI$28*$C$28</f>
        <v>4.1172712670498725E+23</v>
      </c>
      <c r="MFM28" s="613">
        <f t="shared" ref="MFM28" si="4501">MFK$28*$C$28</f>
        <v>4.1584439797203715E+23</v>
      </c>
      <c r="MFO28" s="613">
        <f t="shared" ref="MFO28" si="4502">MFM$28*$C$28</f>
        <v>4.2000284195175755E+23</v>
      </c>
      <c r="MFQ28" s="613">
        <f t="shared" ref="MFQ28" si="4503">MFO$28*$C$28</f>
        <v>4.2420287037127515E+23</v>
      </c>
      <c r="MFS28" s="613">
        <f t="shared" ref="MFS28" si="4504">MFQ$28*$C$28</f>
        <v>4.2844489907498788E+23</v>
      </c>
      <c r="MFU28" s="613">
        <f t="shared" ref="MFU28" si="4505">MFS$28*$C$28</f>
        <v>4.3272934806573777E+23</v>
      </c>
      <c r="MFW28" s="613">
        <f t="shared" ref="MFW28" si="4506">MFU$28*$C$28</f>
        <v>4.3705664154639517E+23</v>
      </c>
      <c r="MFY28" s="613">
        <f t="shared" ref="MFY28" si="4507">MFW$28*$C$28</f>
        <v>4.414272079618591E+23</v>
      </c>
      <c r="MGA28" s="613">
        <f t="shared" ref="MGA28" si="4508">MFY$28*$C$28</f>
        <v>4.4584148004147771E+23</v>
      </c>
      <c r="MGC28" s="613">
        <f t="shared" ref="MGC28" si="4509">MGA$28*$C$28</f>
        <v>4.5029989484189251E+23</v>
      </c>
      <c r="MGE28" s="613">
        <f t="shared" ref="MGE28" si="4510">MGC$28*$C$28</f>
        <v>4.5480289379031144E+23</v>
      </c>
      <c r="MGG28" s="613">
        <f t="shared" ref="MGG28" si="4511">MGE$28*$C$28</f>
        <v>4.5935092272821455E+23</v>
      </c>
      <c r="MGI28" s="613">
        <f t="shared" ref="MGI28" si="4512">MGG$28*$C$28</f>
        <v>4.639444319554967E+23</v>
      </c>
      <c r="MGK28" s="613">
        <f t="shared" ref="MGK28" si="4513">MGI$28*$C$28</f>
        <v>4.6858387627505164E+23</v>
      </c>
      <c r="MGM28" s="613">
        <f t="shared" ref="MGM28" si="4514">MGK$28*$C$28</f>
        <v>4.7326971503780215E+23</v>
      </c>
      <c r="MGO28" s="613">
        <f t="shared" ref="MGO28" si="4515">MGM$28*$C$28</f>
        <v>4.7800241218818015E+23</v>
      </c>
      <c r="MGQ28" s="613">
        <f t="shared" ref="MGQ28" si="4516">MGO$28*$C$28</f>
        <v>4.8278243631006196E+23</v>
      </c>
      <c r="MGS28" s="613">
        <f t="shared" ref="MGS28" si="4517">MGQ$28*$C$28</f>
        <v>4.8761026067316257E+23</v>
      </c>
      <c r="MGU28" s="613">
        <f t="shared" ref="MGU28" si="4518">MGS$28*$C$28</f>
        <v>4.9248636327989421E+23</v>
      </c>
      <c r="MGW28" s="613">
        <f t="shared" ref="MGW28" si="4519">MGU$28*$C$28</f>
        <v>4.9741122691269314E+23</v>
      </c>
      <c r="MGY28" s="613">
        <f t="shared" ref="MGY28" si="4520">MGW$28*$C$28</f>
        <v>5.0238533918182009E+23</v>
      </c>
      <c r="MHA28" s="613">
        <f t="shared" ref="MHA28" si="4521">MGY$28*$C$28</f>
        <v>5.0740919257363827E+23</v>
      </c>
      <c r="MHC28" s="613">
        <f t="shared" ref="MHC28" si="4522">MHA$28*$C$28</f>
        <v>5.1248328449937468E+23</v>
      </c>
      <c r="MHE28" s="613">
        <f t="shared" ref="MHE28" si="4523">MHC$28*$C$28</f>
        <v>5.1760811734436844E+23</v>
      </c>
      <c r="MHG28" s="613">
        <f t="shared" ref="MHG28" si="4524">MHE$28*$C$28</f>
        <v>5.2278419851781216E+23</v>
      </c>
      <c r="MHI28" s="613">
        <f t="shared" ref="MHI28" si="4525">MHG$28*$C$28</f>
        <v>5.280120405029903E+23</v>
      </c>
      <c r="MHK28" s="613">
        <f t="shared" ref="MHK28" si="4526">MHI$28*$C$28</f>
        <v>5.3329216090802022E+23</v>
      </c>
      <c r="MHM28" s="613">
        <f t="shared" ref="MHM28" si="4527">MHK$28*$C$28</f>
        <v>5.3862508251710046E+23</v>
      </c>
      <c r="MHO28" s="613">
        <f t="shared" ref="MHO28" si="4528">MHM$28*$C$28</f>
        <v>5.4401133334227146E+23</v>
      </c>
      <c r="MHQ28" s="613">
        <f t="shared" ref="MHQ28" si="4529">MHO$28*$C$28</f>
        <v>5.4945144667569419E+23</v>
      </c>
      <c r="MHS28" s="613">
        <f t="shared" ref="MHS28" si="4530">MHQ$28*$C$28</f>
        <v>5.5494596114245112E+23</v>
      </c>
      <c r="MHU28" s="613">
        <f t="shared" ref="MHU28" si="4531">MHS$28*$C$28</f>
        <v>5.6049542075387564E+23</v>
      </c>
      <c r="MHW28" s="613">
        <f t="shared" ref="MHW28" si="4532">MHU$28*$C$28</f>
        <v>5.6610037496141442E+23</v>
      </c>
      <c r="MHY28" s="613">
        <f t="shared" ref="MHY28" si="4533">MHW$28*$C$28</f>
        <v>5.7176137871102854E+23</v>
      </c>
      <c r="MIA28" s="613">
        <f t="shared" ref="MIA28" si="4534">MHY$28*$C$28</f>
        <v>5.7747899249813882E+23</v>
      </c>
      <c r="MIC28" s="613">
        <f t="shared" ref="MIC28" si="4535">MIA$28*$C$28</f>
        <v>5.832537824231202E+23</v>
      </c>
      <c r="MIE28" s="613">
        <f t="shared" ref="MIE28" si="4536">MIC$28*$C$28</f>
        <v>5.8908632024735143E+23</v>
      </c>
      <c r="MIG28" s="613">
        <f t="shared" ref="MIG28" si="4537">MIE$28*$C$28</f>
        <v>5.9497718344982498E+23</v>
      </c>
      <c r="MII28" s="613">
        <f t="shared" ref="MII28" si="4538">MIG$28*$C$28</f>
        <v>6.0092695528432322E+23</v>
      </c>
      <c r="MIK28" s="613">
        <f t="shared" ref="MIK28" si="4539">MII$28*$C$28</f>
        <v>6.069362248371664E+23</v>
      </c>
      <c r="MIM28" s="613">
        <f t="shared" ref="MIM28" si="4540">MIK$28*$C$28</f>
        <v>6.1300558708553808E+23</v>
      </c>
      <c r="MIO28" s="613">
        <f t="shared" ref="MIO28" si="4541">MIM$28*$C$28</f>
        <v>6.1913564295639345E+23</v>
      </c>
      <c r="MIQ28" s="613">
        <f t="shared" ref="MIQ28" si="4542">MIO$28*$C$28</f>
        <v>6.2532699938595743E+23</v>
      </c>
      <c r="MIS28" s="613">
        <f t="shared" ref="MIS28" si="4543">MIQ$28*$C$28</f>
        <v>6.3158026937981699E+23</v>
      </c>
      <c r="MIU28" s="613">
        <f t="shared" ref="MIU28" si="4544">MIS$28*$C$28</f>
        <v>6.3789607207361517E+23</v>
      </c>
      <c r="MIW28" s="613">
        <f t="shared" ref="MIW28" si="4545">MIU$28*$C$28</f>
        <v>6.4427503279435132E+23</v>
      </c>
      <c r="MIY28" s="613">
        <f t="shared" ref="MIY28" si="4546">MIW$28*$C$28</f>
        <v>6.5071778312229489E+23</v>
      </c>
      <c r="MJA28" s="613">
        <f t="shared" ref="MJA28" si="4547">MIY$28*$C$28</f>
        <v>6.572249609535179E+23</v>
      </c>
      <c r="MJC28" s="613">
        <f t="shared" ref="MJC28" si="4548">MJA$28*$C$28</f>
        <v>6.6379721056305307E+23</v>
      </c>
      <c r="MJE28" s="613">
        <f t="shared" ref="MJE28" si="4549">MJC$28*$C$28</f>
        <v>6.7043518266868355E+23</v>
      </c>
      <c r="MJG28" s="613">
        <f t="shared" ref="MJG28" si="4550">MJE$28*$C$28</f>
        <v>6.7713953449537041E+23</v>
      </c>
      <c r="MJI28" s="613">
        <f t="shared" ref="MJI28" si="4551">MJG$28*$C$28</f>
        <v>6.8391092984032406E+23</v>
      </c>
      <c r="MJK28" s="613">
        <f t="shared" ref="MJK28" si="4552">MJI$28*$C$28</f>
        <v>6.9075003913872737E+23</v>
      </c>
      <c r="MJM28" s="613">
        <f t="shared" ref="MJM28" si="4553">MJK$28*$C$28</f>
        <v>6.9765753953011467E+23</v>
      </c>
      <c r="MJO28" s="613">
        <f t="shared" ref="MJO28" si="4554">MJM$28*$C$28</f>
        <v>7.0463411492541583E+23</v>
      </c>
      <c r="MJQ28" s="613">
        <f t="shared" ref="MJQ28" si="4555">MJO$28*$C$28</f>
        <v>7.1168045607466999E+23</v>
      </c>
      <c r="MJS28" s="613">
        <f t="shared" ref="MJS28" si="4556">MJQ$28*$C$28</f>
        <v>7.1879726063541664E+23</v>
      </c>
      <c r="MJU28" s="613">
        <f t="shared" ref="MJU28" si="4557">MJS$28*$C$28</f>
        <v>7.2598523324177076E+23</v>
      </c>
      <c r="MJW28" s="613">
        <f t="shared" ref="MJW28" si="4558">MJU$28*$C$28</f>
        <v>7.3324508557418853E+23</v>
      </c>
      <c r="MJY28" s="613">
        <f t="shared" ref="MJY28" si="4559">MJW$28*$C$28</f>
        <v>7.4057753642993041E+23</v>
      </c>
      <c r="MKA28" s="613">
        <f t="shared" ref="MKA28" si="4560">MJY$28*$C$28</f>
        <v>7.4798331179422973E+23</v>
      </c>
      <c r="MKC28" s="613">
        <f t="shared" ref="MKC28" si="4561">MKA$28*$C$28</f>
        <v>7.5546314491217201E+23</v>
      </c>
      <c r="MKE28" s="613">
        <f t="shared" ref="MKE28" si="4562">MKC$28*$C$28</f>
        <v>7.6301777636129375E+23</v>
      </c>
      <c r="MKG28" s="613">
        <f t="shared" ref="MKG28" si="4563">MKE$28*$C$28</f>
        <v>7.7064795412490666E+23</v>
      </c>
      <c r="MKI28" s="613">
        <f t="shared" ref="MKI28" si="4564">MKG$28*$C$28</f>
        <v>7.7835443366615576E+23</v>
      </c>
      <c r="MKK28" s="613">
        <f t="shared" ref="MKK28" si="4565">MKI$28*$C$28</f>
        <v>7.8613797800281733E+23</v>
      </c>
      <c r="MKM28" s="613">
        <f t="shared" ref="MKM28" si="4566">MKK$28*$C$28</f>
        <v>7.9399935778284547E+23</v>
      </c>
      <c r="MKO28" s="613">
        <f t="shared" ref="MKO28" si="4567">MKM$28*$C$28</f>
        <v>8.01939351360674E+23</v>
      </c>
      <c r="MKQ28" s="613">
        <f t="shared" ref="MKQ28" si="4568">MKO$28*$C$28</f>
        <v>8.0995874487428071E+23</v>
      </c>
      <c r="MKS28" s="613">
        <f t="shared" ref="MKS28" si="4569">MKQ$28*$C$28</f>
        <v>8.1805833232302353E+23</v>
      </c>
      <c r="MKU28" s="613">
        <f t="shared" ref="MKU28" si="4570">MKS$28*$C$28</f>
        <v>8.2623891564625379E+23</v>
      </c>
      <c r="MKW28" s="613">
        <f t="shared" ref="MKW28" si="4571">MKU$28*$C$28</f>
        <v>8.3450130480271637E+23</v>
      </c>
      <c r="MKY28" s="613">
        <f t="shared" ref="MKY28" si="4572">MKW$28*$C$28</f>
        <v>8.4284631785074349E+23</v>
      </c>
      <c r="MLA28" s="613">
        <f t="shared" ref="MLA28" si="4573">MKY$28*$C$28</f>
        <v>8.5127478102925087E+23</v>
      </c>
      <c r="MLC28" s="613">
        <f t="shared" ref="MLC28" si="4574">MLA$28*$C$28</f>
        <v>8.5978752883954335E+23</v>
      </c>
      <c r="MLE28" s="613">
        <f t="shared" ref="MLE28" si="4575">MLC$28*$C$28</f>
        <v>8.683854041279388E+23</v>
      </c>
      <c r="MLG28" s="613">
        <f t="shared" ref="MLG28" si="4576">MLE$28*$C$28</f>
        <v>8.7706925816921822E+23</v>
      </c>
      <c r="MLI28" s="613">
        <f t="shared" ref="MLI28" si="4577">MLG$28*$C$28</f>
        <v>8.8583995075091046E+23</v>
      </c>
      <c r="MLK28" s="613">
        <f t="shared" ref="MLK28" si="4578">MLI$28*$C$28</f>
        <v>8.9469835025841958E+23</v>
      </c>
      <c r="MLM28" s="613">
        <f t="shared" ref="MLM28" si="4579">MLK$28*$C$28</f>
        <v>9.0364533376100372E+23</v>
      </c>
      <c r="MLO28" s="613">
        <f t="shared" ref="MLO28" si="4580">MLM$28*$C$28</f>
        <v>9.1268178709861377E+23</v>
      </c>
      <c r="MLQ28" s="613">
        <f t="shared" ref="MLQ28" si="4581">MLO$28*$C$28</f>
        <v>9.2180860496959991E+23</v>
      </c>
      <c r="MLS28" s="613">
        <f t="shared" ref="MLS28" si="4582">MLQ$28*$C$28</f>
        <v>9.3102669101929588E+23</v>
      </c>
      <c r="MLU28" s="613">
        <f t="shared" ref="MLU28" si="4583">MLS$28*$C$28</f>
        <v>9.4033695792948889E+23</v>
      </c>
      <c r="MLW28" s="613">
        <f t="shared" ref="MLW28" si="4584">MLU$28*$C$28</f>
        <v>9.4974032750878374E+23</v>
      </c>
      <c r="MLY28" s="613">
        <f t="shared" ref="MLY28" si="4585">MLW$28*$C$28</f>
        <v>9.5923773078387155E+23</v>
      </c>
      <c r="MMA28" s="613">
        <f t="shared" ref="MMA28" si="4586">MLY$28*$C$28</f>
        <v>9.6883010809171032E+23</v>
      </c>
      <c r="MMC28" s="613">
        <f t="shared" ref="MMC28" si="4587">MMA$28*$C$28</f>
        <v>9.7851840917262741E+23</v>
      </c>
      <c r="MME28" s="613">
        <f t="shared" ref="MME28" si="4588">MMC$28*$C$28</f>
        <v>9.8830359326435375E+23</v>
      </c>
      <c r="MMG28" s="613">
        <f t="shared" ref="MMG28" si="4589">MME$28*$C$28</f>
        <v>9.981866291969973E+23</v>
      </c>
      <c r="MMI28" s="613">
        <f t="shared" ref="MMI28" si="4590">MMG$28*$C$28</f>
        <v>1.0081684954889673E+24</v>
      </c>
      <c r="MMK28" s="613">
        <f t="shared" ref="MMK28" si="4591">MMI$28*$C$28</f>
        <v>1.018250180443857E+24</v>
      </c>
      <c r="MMM28" s="613">
        <f t="shared" ref="MMM28" si="4592">MMK$28*$C$28</f>
        <v>1.0284326822482956E+24</v>
      </c>
      <c r="MMO28" s="613">
        <f t="shared" ref="MMO28" si="4593">MMM$28*$C$28</f>
        <v>1.0387170090707786E+24</v>
      </c>
      <c r="MMQ28" s="613">
        <f t="shared" ref="MMQ28" si="4594">MMO$28*$C$28</f>
        <v>1.0491041791614864E+24</v>
      </c>
      <c r="MMS28" s="613">
        <f t="shared" ref="MMS28" si="4595">MMQ$28*$C$28</f>
        <v>1.0595952209531013E+24</v>
      </c>
      <c r="MMU28" s="613">
        <f t="shared" ref="MMU28" si="4596">MMS$28*$C$28</f>
        <v>1.0701911731626323E+24</v>
      </c>
      <c r="MMW28" s="613">
        <f t="shared" ref="MMW28" si="4597">MMU$28*$C$28</f>
        <v>1.0808930848942587E+24</v>
      </c>
      <c r="MMY28" s="613">
        <f t="shared" ref="MMY28" si="4598">MMW$28*$C$28</f>
        <v>1.0917020157432013E+24</v>
      </c>
      <c r="MNA28" s="613">
        <f t="shared" ref="MNA28" si="4599">MMY$28*$C$28</f>
        <v>1.1026190359006333E+24</v>
      </c>
      <c r="MNC28" s="613">
        <f t="shared" ref="MNC28" si="4600">MNA$28*$C$28</f>
        <v>1.1136452262596396E+24</v>
      </c>
      <c r="MNE28" s="613">
        <f t="shared" ref="MNE28" si="4601">MNC$28*$C$28</f>
        <v>1.1247816785222359E+24</v>
      </c>
      <c r="MNG28" s="613">
        <f t="shared" ref="MNG28" si="4602">MNE$28*$C$28</f>
        <v>1.1360294953074583E+24</v>
      </c>
      <c r="MNI28" s="613">
        <f t="shared" ref="MNI28" si="4603">MNG$28*$C$28</f>
        <v>1.1473897902605329E+24</v>
      </c>
      <c r="MNK28" s="613">
        <f t="shared" ref="MNK28" si="4604">MNI$28*$C$28</f>
        <v>1.1588636881631382E+24</v>
      </c>
      <c r="MNM28" s="613">
        <f t="shared" ref="MNM28" si="4605">MNK$28*$C$28</f>
        <v>1.1704523250447696E+24</v>
      </c>
      <c r="MNO28" s="613">
        <f t="shared" ref="MNO28" si="4606">MNM$28*$C$28</f>
        <v>1.1821568482952172E+24</v>
      </c>
      <c r="MNQ28" s="613">
        <f t="shared" ref="MNQ28" si="4607">MNO$28*$C$28</f>
        <v>1.1939784167781695E+24</v>
      </c>
      <c r="MNS28" s="613">
        <f t="shared" ref="MNS28" si="4608">MNQ$28*$C$28</f>
        <v>1.2059182009459512E+24</v>
      </c>
      <c r="MNU28" s="613">
        <f t="shared" ref="MNU28" si="4609">MNS$28*$C$28</f>
        <v>1.2179773829554107E+24</v>
      </c>
      <c r="MNW28" s="613">
        <f t="shared" ref="MNW28" si="4610">MNU$28*$C$28</f>
        <v>1.2301571567849648E+24</v>
      </c>
      <c r="MNY28" s="613">
        <f t="shared" ref="MNY28" si="4611">MNW$28*$C$28</f>
        <v>1.2424587283528144E+24</v>
      </c>
      <c r="MOA28" s="613">
        <f t="shared" ref="MOA28" si="4612">MNY$28*$C$28</f>
        <v>1.2548833156363426E+24</v>
      </c>
      <c r="MOC28" s="613">
        <f t="shared" ref="MOC28" si="4613">MOA$28*$C$28</f>
        <v>1.2674321487927061E+24</v>
      </c>
      <c r="MOE28" s="613">
        <f t="shared" ref="MOE28" si="4614">MOC$28*$C$28</f>
        <v>1.2801064702806331E+24</v>
      </c>
      <c r="MOG28" s="613">
        <f t="shared" ref="MOG28" si="4615">MOE$28*$C$28</f>
        <v>1.2929075349834395E+24</v>
      </c>
      <c r="MOI28" s="613">
        <f t="shared" ref="MOI28" si="4616">MOG$28*$C$28</f>
        <v>1.3058366103332739E+24</v>
      </c>
      <c r="MOK28" s="613">
        <f t="shared" ref="MOK28" si="4617">MOI$28*$C$28</f>
        <v>1.3188949764366065E+24</v>
      </c>
      <c r="MOM28" s="613">
        <f t="shared" ref="MOM28" si="4618">MOK$28*$C$28</f>
        <v>1.3320839262009725E+24</v>
      </c>
      <c r="MOO28" s="613">
        <f t="shared" ref="MOO28" si="4619">MOM$28*$C$28</f>
        <v>1.3454047654629821E+24</v>
      </c>
      <c r="MOQ28" s="613">
        <f t="shared" ref="MOQ28" si="4620">MOO$28*$C$28</f>
        <v>1.358858813117612E+24</v>
      </c>
      <c r="MOS28" s="613">
        <f t="shared" ref="MOS28" si="4621">MOQ$28*$C$28</f>
        <v>1.3724474012487881E+24</v>
      </c>
      <c r="MOU28" s="613">
        <f t="shared" ref="MOU28" si="4622">MOS$28*$C$28</f>
        <v>1.386171875261276E+24</v>
      </c>
      <c r="MOW28" s="613">
        <f t="shared" ref="MOW28" si="4623">MOU$28*$C$28</f>
        <v>1.4000335940138888E+24</v>
      </c>
      <c r="MOY28" s="613">
        <f t="shared" ref="MOY28" si="4624">MOW$28*$C$28</f>
        <v>1.4140339299540277E+24</v>
      </c>
      <c r="MPA28" s="613">
        <f t="shared" ref="MPA28" si="4625">MOY$28*$C$28</f>
        <v>1.4281742692535679E+24</v>
      </c>
      <c r="MPC28" s="613">
        <f t="shared" ref="MPC28" si="4626">MPA$28*$C$28</f>
        <v>1.4424560119461037E+24</v>
      </c>
      <c r="MPE28" s="613">
        <f t="shared" ref="MPE28" si="4627">MPC$28*$C$28</f>
        <v>1.4568805720655648E+24</v>
      </c>
      <c r="MPG28" s="613">
        <f t="shared" ref="MPG28" si="4628">MPE$28*$C$28</f>
        <v>1.4714493777862205E+24</v>
      </c>
      <c r="MPI28" s="613">
        <f t="shared" ref="MPI28" si="4629">MPG$28*$C$28</f>
        <v>1.4861638715640826E+24</v>
      </c>
      <c r="MPK28" s="613">
        <f t="shared" ref="MPK28" si="4630">MPI$28*$C$28</f>
        <v>1.5010255102797235E+24</v>
      </c>
      <c r="MPM28" s="613">
        <f t="shared" ref="MPM28" si="4631">MPK$28*$C$28</f>
        <v>1.5160357653825207E+24</v>
      </c>
      <c r="MPO28" s="613">
        <f t="shared" ref="MPO28" si="4632">MPM$28*$C$28</f>
        <v>1.531196123036346E+24</v>
      </c>
      <c r="MPQ28" s="613">
        <f t="shared" ref="MPQ28" si="4633">MPO$28*$C$28</f>
        <v>1.5465080842667095E+24</v>
      </c>
      <c r="MPS28" s="613">
        <f t="shared" ref="MPS28" si="4634">MPQ$28*$C$28</f>
        <v>1.5619731651093766E+24</v>
      </c>
      <c r="MPU28" s="613">
        <f t="shared" ref="MPU28" si="4635">MPS$28*$C$28</f>
        <v>1.5775928967604703E+24</v>
      </c>
      <c r="MPW28" s="613">
        <f t="shared" ref="MPW28" si="4636">MPU$28*$C$28</f>
        <v>1.593368825728075E+24</v>
      </c>
      <c r="MPY28" s="613">
        <f t="shared" ref="MPY28" si="4637">MPW$28*$C$28</f>
        <v>1.6093025139853559E+24</v>
      </c>
      <c r="MQA28" s="613">
        <f t="shared" ref="MQA28" si="4638">MPY$28*$C$28</f>
        <v>1.6253955391252094E+24</v>
      </c>
      <c r="MQC28" s="613">
        <f t="shared" ref="MQC28" si="4639">MQA$28*$C$28</f>
        <v>1.6416494945164614E+24</v>
      </c>
      <c r="MQE28" s="613">
        <f t="shared" ref="MQE28" si="4640">MQC$28*$C$28</f>
        <v>1.6580659894616261E+24</v>
      </c>
      <c r="MQG28" s="613">
        <f t="shared" ref="MQG28" si="4641">MQE$28*$C$28</f>
        <v>1.6746466493562425E+24</v>
      </c>
      <c r="MQI28" s="613">
        <f t="shared" ref="MQI28" si="4642">MQG$28*$C$28</f>
        <v>1.691393115849805E+24</v>
      </c>
      <c r="MQK28" s="613">
        <f t="shared" ref="MQK28" si="4643">MQI$28*$C$28</f>
        <v>1.7083070470083032E+24</v>
      </c>
      <c r="MQM28" s="613">
        <f t="shared" ref="MQM28" si="4644">MQK$28*$C$28</f>
        <v>1.7253901174783864E+24</v>
      </c>
      <c r="MQO28" s="613">
        <f t="shared" ref="MQO28" si="4645">MQM$28*$C$28</f>
        <v>1.7426440186531703E+24</v>
      </c>
      <c r="MQQ28" s="613">
        <f t="shared" ref="MQQ28" si="4646">MQO$28*$C$28</f>
        <v>1.7600704588397019E+24</v>
      </c>
      <c r="MQS28" s="613">
        <f t="shared" ref="MQS28" si="4647">MQQ$28*$C$28</f>
        <v>1.777671163428099E+24</v>
      </c>
      <c r="MQU28" s="613">
        <f t="shared" ref="MQU28" si="4648">MQS$28*$C$28</f>
        <v>1.79544787506238E+24</v>
      </c>
      <c r="MQW28" s="613">
        <f t="shared" ref="MQW28" si="4649">MQU$28*$C$28</f>
        <v>1.8134023538130037E+24</v>
      </c>
      <c r="MQY28" s="613">
        <f t="shared" ref="MQY28" si="4650">MQW$28*$C$28</f>
        <v>1.8315363773511338E+24</v>
      </c>
      <c r="MRA28" s="613">
        <f t="shared" ref="MRA28" si="4651">MQY$28*$C$28</f>
        <v>1.8498517411246452E+24</v>
      </c>
      <c r="MRC28" s="613">
        <f t="shared" ref="MRC28" si="4652">MRA$28*$C$28</f>
        <v>1.8683502585358916E+24</v>
      </c>
      <c r="MRE28" s="613">
        <f t="shared" ref="MRE28" si="4653">MRC$28*$C$28</f>
        <v>1.8870337611212506E+24</v>
      </c>
      <c r="MRG28" s="613">
        <f t="shared" ref="MRG28" si="4654">MRE$28*$C$28</f>
        <v>1.9059040987324632E+24</v>
      </c>
      <c r="MRI28" s="613">
        <f t="shared" ref="MRI28" si="4655">MRG$28*$C$28</f>
        <v>1.9249631397197877E+24</v>
      </c>
      <c r="MRK28" s="613">
        <f t="shared" ref="MRK28" si="4656">MRI$28*$C$28</f>
        <v>1.9442127711169855E+24</v>
      </c>
      <c r="MRM28" s="613">
        <f t="shared" ref="MRM28" si="4657">MRK$28*$C$28</f>
        <v>1.9636548988281555E+24</v>
      </c>
      <c r="MRO28" s="613">
        <f t="shared" ref="MRO28" si="4658">MRM$28*$C$28</f>
        <v>1.9832914478164369E+24</v>
      </c>
      <c r="MRQ28" s="613">
        <f t="shared" ref="MRQ28" si="4659">MRO$28*$C$28</f>
        <v>2.0031243622946014E+24</v>
      </c>
      <c r="MRS28" s="613">
        <f t="shared" ref="MRS28" si="4660">MRQ$28*$C$28</f>
        <v>2.0231556059175475E+24</v>
      </c>
      <c r="MRU28" s="613">
        <f t="shared" ref="MRU28" si="4661">MRS$28*$C$28</f>
        <v>2.043387161976723E+24</v>
      </c>
      <c r="MRW28" s="613">
        <f t="shared" ref="MRW28" si="4662">MRU$28*$C$28</f>
        <v>2.0638210335964902E+24</v>
      </c>
      <c r="MRY28" s="613">
        <f t="shared" ref="MRY28" si="4663">MRW$28*$C$28</f>
        <v>2.0844592439324553E+24</v>
      </c>
      <c r="MSA28" s="613">
        <f t="shared" ref="MSA28" si="4664">MRY$28*$C$28</f>
        <v>2.1053038363717797E+24</v>
      </c>
      <c r="MSC28" s="613">
        <f t="shared" ref="MSC28" si="4665">MSA$28*$C$28</f>
        <v>2.1263568747354974E+24</v>
      </c>
      <c r="MSE28" s="613">
        <f t="shared" ref="MSE28" si="4666">MSC$28*$C$28</f>
        <v>2.1476204434828525E+24</v>
      </c>
      <c r="MSG28" s="613">
        <f t="shared" ref="MSG28" si="4667">MSE$28*$C$28</f>
        <v>2.1690966479176812E+24</v>
      </c>
      <c r="MSI28" s="613">
        <f t="shared" ref="MSI28" si="4668">MSG$28*$C$28</f>
        <v>2.190787614396858E+24</v>
      </c>
      <c r="MSK28" s="613">
        <f t="shared" ref="MSK28" si="4669">MSI$28*$C$28</f>
        <v>2.2126954905408265E+24</v>
      </c>
      <c r="MSM28" s="613">
        <f t="shared" ref="MSM28" si="4670">MSK$28*$C$28</f>
        <v>2.2348224454462349E+24</v>
      </c>
      <c r="MSO28" s="613">
        <f t="shared" ref="MSO28" si="4671">MSM$28*$C$28</f>
        <v>2.2571706699006973E+24</v>
      </c>
      <c r="MSQ28" s="613">
        <f t="shared" ref="MSQ28" si="4672">MSO$28*$C$28</f>
        <v>2.2797423765997044E+24</v>
      </c>
      <c r="MSS28" s="613">
        <f t="shared" ref="MSS28" si="4673">MSQ$28*$C$28</f>
        <v>2.3025398003657015E+24</v>
      </c>
      <c r="MSU28" s="613">
        <f t="shared" ref="MSU28" si="4674">MSS$28*$C$28</f>
        <v>2.3255651983693585E+24</v>
      </c>
      <c r="MSW28" s="613">
        <f t="shared" ref="MSW28" si="4675">MSU$28*$C$28</f>
        <v>2.348820850353052E+24</v>
      </c>
      <c r="MSY28" s="613">
        <f t="shared" ref="MSY28" si="4676">MSW$28*$C$28</f>
        <v>2.3723090588565826E+24</v>
      </c>
      <c r="MTA28" s="613">
        <f t="shared" ref="MTA28" si="4677">MSY$28*$C$28</f>
        <v>2.3960321494451483E+24</v>
      </c>
      <c r="MTC28" s="613">
        <f t="shared" ref="MTC28" si="4678">MTA$28*$C$28</f>
        <v>2.4199924709395996E+24</v>
      </c>
      <c r="MTE28" s="613">
        <f t="shared" ref="MTE28" si="4679">MTC$28*$C$28</f>
        <v>2.4441923956489957E+24</v>
      </c>
      <c r="MTG28" s="613">
        <f t="shared" ref="MTG28" si="4680">MTE$28*$C$28</f>
        <v>2.4686343196054857E+24</v>
      </c>
      <c r="MTI28" s="613">
        <f t="shared" ref="MTI28" si="4681">MTG$28*$C$28</f>
        <v>2.4933206628015404E+24</v>
      </c>
      <c r="MTK28" s="613">
        <f t="shared" ref="MTK28" si="4682">MTI$28*$C$28</f>
        <v>2.5182538694295558E+24</v>
      </c>
      <c r="MTM28" s="613">
        <f t="shared" ref="MTM28" si="4683">MTK$28*$C$28</f>
        <v>2.5434364081238517E+24</v>
      </c>
      <c r="MTO28" s="613">
        <f t="shared" ref="MTO28" si="4684">MTM$28*$C$28</f>
        <v>2.5688707722050902E+24</v>
      </c>
      <c r="MTQ28" s="613">
        <f t="shared" ref="MTQ28" si="4685">MTO$28*$C$28</f>
        <v>2.5945594799271411E+24</v>
      </c>
      <c r="MTS28" s="613">
        <f t="shared" ref="MTS28" si="4686">MTQ$28*$C$28</f>
        <v>2.6205050747264126E+24</v>
      </c>
      <c r="MTU28" s="613">
        <f t="shared" ref="MTU28" si="4687">MTS$28*$C$28</f>
        <v>2.6467101254736769E+24</v>
      </c>
      <c r="MTW28" s="613">
        <f t="shared" ref="MTW28" si="4688">MTU$28*$C$28</f>
        <v>2.6731772267284137E+24</v>
      </c>
      <c r="MTY28" s="613">
        <f t="shared" ref="MTY28" si="4689">MTW$28*$C$28</f>
        <v>2.6999089989956976E+24</v>
      </c>
      <c r="MUA28" s="613">
        <f t="shared" ref="MUA28" si="4690">MTY$28*$C$28</f>
        <v>2.7269080889856543E+24</v>
      </c>
      <c r="MUC28" s="613">
        <f t="shared" ref="MUC28" si="4691">MUA$28*$C$28</f>
        <v>2.754177169875511E+24</v>
      </c>
      <c r="MUE28" s="613">
        <f t="shared" ref="MUE28" si="4692">MUC$28*$C$28</f>
        <v>2.7817189415742662E+24</v>
      </c>
      <c r="MUG28" s="613">
        <f t="shared" ref="MUG28" si="4693">MUE$28*$C$28</f>
        <v>2.809536130990009E+24</v>
      </c>
      <c r="MUI28" s="613">
        <f t="shared" ref="MUI28" si="4694">MUG$28*$C$28</f>
        <v>2.8376314922999094E+24</v>
      </c>
      <c r="MUK28" s="613">
        <f t="shared" ref="MUK28" si="4695">MUI$28*$C$28</f>
        <v>2.8660078072229083E+24</v>
      </c>
      <c r="MUM28" s="613">
        <f t="shared" ref="MUM28" si="4696">MUK$28*$C$28</f>
        <v>2.8946678852951374E+24</v>
      </c>
      <c r="MUO28" s="613">
        <f t="shared" ref="MUO28" si="4697">MUM$28*$C$28</f>
        <v>2.9236145641480887E+24</v>
      </c>
      <c r="MUQ28" s="613">
        <f t="shared" ref="MUQ28" si="4698">MUO$28*$C$28</f>
        <v>2.9528507097895695E+24</v>
      </c>
      <c r="MUS28" s="613">
        <f t="shared" ref="MUS28" si="4699">MUQ$28*$C$28</f>
        <v>2.982379216887465E+24</v>
      </c>
      <c r="MUU28" s="613">
        <f t="shared" ref="MUU28" si="4700">MUS$28*$C$28</f>
        <v>3.0122030090563399E+24</v>
      </c>
      <c r="MUW28" s="613">
        <f t="shared" ref="MUW28" si="4701">MUU$28*$C$28</f>
        <v>3.0423250391469034E+24</v>
      </c>
      <c r="MUY28" s="613">
        <f t="shared" ref="MUY28" si="4702">MUW$28*$C$28</f>
        <v>3.0727482895383726E+24</v>
      </c>
      <c r="MVA28" s="613">
        <f t="shared" ref="MVA28" si="4703">MUY$28*$C$28</f>
        <v>3.1034757724337565E+24</v>
      </c>
      <c r="MVC28" s="613">
        <f t="shared" ref="MVC28" si="4704">MVA$28*$C$28</f>
        <v>3.1345105301580939E+24</v>
      </c>
      <c r="MVE28" s="613">
        <f t="shared" ref="MVE28" si="4705">MVC$28*$C$28</f>
        <v>3.1658556354596747E+24</v>
      </c>
      <c r="MVG28" s="613">
        <f t="shared" ref="MVG28" si="4706">MVE$28*$C$28</f>
        <v>3.1975141918142717E+24</v>
      </c>
      <c r="MVI28" s="613">
        <f t="shared" ref="MVI28" si="4707">MVG$28*$C$28</f>
        <v>3.2294893337324144E+24</v>
      </c>
      <c r="MVK28" s="613">
        <f t="shared" ref="MVK28" si="4708">MVI$28*$C$28</f>
        <v>3.2617842270697386E+24</v>
      </c>
      <c r="MVM28" s="613">
        <f t="shared" ref="MVM28" si="4709">MVK$28*$C$28</f>
        <v>3.294402069340436E+24</v>
      </c>
      <c r="MVO28" s="613">
        <f t="shared" ref="MVO28" si="4710">MVM$28*$C$28</f>
        <v>3.3273460900338404E+24</v>
      </c>
      <c r="MVQ28" s="613">
        <f t="shared" ref="MVQ28" si="4711">MVO$28*$C$28</f>
        <v>3.3606195509341787E+24</v>
      </c>
      <c r="MVS28" s="613">
        <f t="shared" ref="MVS28" si="4712">MVQ$28*$C$28</f>
        <v>3.3942257464435206E+24</v>
      </c>
      <c r="MVU28" s="613">
        <f t="shared" ref="MVU28" si="4713">MVS$28*$C$28</f>
        <v>3.4281680039079561E+24</v>
      </c>
      <c r="MVW28" s="613">
        <f t="shared" ref="MVW28" si="4714">MVU$28*$C$28</f>
        <v>3.4624496839470355E+24</v>
      </c>
      <c r="MVY28" s="613">
        <f t="shared" ref="MVY28" si="4715">MVW$28*$C$28</f>
        <v>3.4970741807865059E+24</v>
      </c>
      <c r="MWA28" s="613">
        <f t="shared" ref="MWA28" si="4716">MVY$28*$C$28</f>
        <v>3.5320449225943709E+24</v>
      </c>
      <c r="MWC28" s="613">
        <f t="shared" ref="MWC28" si="4717">MWA$28*$C$28</f>
        <v>3.5673653718203144E+24</v>
      </c>
      <c r="MWE28" s="613">
        <f t="shared" ref="MWE28" si="4718">MWC$28*$C$28</f>
        <v>3.6030390255385175E+24</v>
      </c>
      <c r="MWG28" s="613">
        <f t="shared" ref="MWG28" si="4719">MWE$28*$C$28</f>
        <v>3.639069415793903E+24</v>
      </c>
      <c r="MWI28" s="613">
        <f t="shared" ref="MWI28" si="4720">MWG$28*$C$28</f>
        <v>3.6754601099518423E+24</v>
      </c>
      <c r="MWK28" s="613">
        <f t="shared" ref="MWK28" si="4721">MWI$28*$C$28</f>
        <v>3.7122147110513608E+24</v>
      </c>
      <c r="MWM28" s="613">
        <f t="shared" ref="MWM28" si="4722">MWK$28*$C$28</f>
        <v>3.7493368581618743E+24</v>
      </c>
      <c r="MWO28" s="613">
        <f t="shared" ref="MWO28" si="4723">MWM$28*$C$28</f>
        <v>3.7868302267434933E+24</v>
      </c>
      <c r="MWQ28" s="613">
        <f t="shared" ref="MWQ28" si="4724">MWO$28*$C$28</f>
        <v>3.8246985290109281E+24</v>
      </c>
      <c r="MWS28" s="613">
        <f t="shared" ref="MWS28" si="4725">MWQ$28*$C$28</f>
        <v>3.8629455143010375E+24</v>
      </c>
      <c r="MWU28" s="613">
        <f t="shared" ref="MWU28" si="4726">MWS$28*$C$28</f>
        <v>3.9015749694440478E+24</v>
      </c>
      <c r="MWW28" s="613">
        <f t="shared" ref="MWW28" si="4727">MWU$28*$C$28</f>
        <v>3.9405907191384884E+24</v>
      </c>
      <c r="MWY28" s="613">
        <f t="shared" ref="MWY28" si="4728">MWW$28*$C$28</f>
        <v>3.9799966263298731E+24</v>
      </c>
      <c r="MXA28" s="613">
        <f t="shared" ref="MXA28" si="4729">MWY$28*$C$28</f>
        <v>4.0197965925931718E+24</v>
      </c>
      <c r="MXC28" s="613">
        <f t="shared" ref="MXC28" si="4730">MXA$28*$C$28</f>
        <v>4.0599945585191035E+24</v>
      </c>
      <c r="MXE28" s="613">
        <f t="shared" ref="MXE28" si="4731">MXC$28*$C$28</f>
        <v>4.1005945041042946E+24</v>
      </c>
      <c r="MXG28" s="613">
        <f t="shared" ref="MXG28" si="4732">MXE$28*$C$28</f>
        <v>4.1416004491453376E+24</v>
      </c>
      <c r="MXI28" s="613">
        <f t="shared" ref="MXI28" si="4733">MXG$28*$C$28</f>
        <v>4.1830164536367909E+24</v>
      </c>
      <c r="MXK28" s="613">
        <f t="shared" ref="MXK28" si="4734">MXI$28*$C$28</f>
        <v>4.2248466181731591E+24</v>
      </c>
      <c r="MXM28" s="613">
        <f t="shared" ref="MXM28" si="4735">MXK$28*$C$28</f>
        <v>4.2670950843548909E+24</v>
      </c>
      <c r="MXO28" s="613">
        <f t="shared" ref="MXO28" si="4736">MXM$28*$C$28</f>
        <v>4.3097660351984398E+24</v>
      </c>
      <c r="MXQ28" s="613">
        <f t="shared" ref="MXQ28" si="4737">MXO$28*$C$28</f>
        <v>4.3528636955504242E+24</v>
      </c>
      <c r="MXS28" s="613">
        <f t="shared" ref="MXS28" si="4738">MXQ$28*$C$28</f>
        <v>4.3963923325059283E+24</v>
      </c>
      <c r="MXU28" s="613">
        <f t="shared" ref="MXU28" si="4739">MXS$28*$C$28</f>
        <v>4.4403562558309873E+24</v>
      </c>
      <c r="MXW28" s="613">
        <f t="shared" ref="MXW28" si="4740">MXU$28*$C$28</f>
        <v>4.4847598183892971E+24</v>
      </c>
      <c r="MXY28" s="613">
        <f t="shared" ref="MXY28" si="4741">MXW$28*$C$28</f>
        <v>4.5296074165731899E+24</v>
      </c>
      <c r="MYA28" s="613">
        <f t="shared" ref="MYA28" si="4742">MXY$28*$C$28</f>
        <v>4.5749034907389217E+24</v>
      </c>
      <c r="MYC28" s="613">
        <f t="shared" ref="MYC28" si="4743">MYA$28*$C$28</f>
        <v>4.6206525256463108E+24</v>
      </c>
      <c r="MYE28" s="613">
        <f t="shared" ref="MYE28" si="4744">MYC$28*$C$28</f>
        <v>4.666859050902774E+24</v>
      </c>
      <c r="MYG28" s="613">
        <f t="shared" ref="MYG28" si="4745">MYE$28*$C$28</f>
        <v>4.7135276414118015E+24</v>
      </c>
      <c r="MYI28" s="613">
        <f t="shared" ref="MYI28" si="4746">MYG$28*$C$28</f>
        <v>4.7606629178259194E+24</v>
      </c>
      <c r="MYK28" s="613">
        <f t="shared" ref="MYK28" si="4747">MYI$28*$C$28</f>
        <v>4.8082695470041789E+24</v>
      </c>
      <c r="MYM28" s="613">
        <f t="shared" ref="MYM28" si="4748">MYK$28*$C$28</f>
        <v>4.8563522424742209E+24</v>
      </c>
      <c r="MYO28" s="613">
        <f t="shared" ref="MYO28" si="4749">MYM$28*$C$28</f>
        <v>4.9049157648989626E+24</v>
      </c>
      <c r="MYQ28" s="613">
        <f t="shared" ref="MYQ28" si="4750">MYO$28*$C$28</f>
        <v>4.9539649225479528E+24</v>
      </c>
      <c r="MYS28" s="613">
        <f t="shared" ref="MYS28" si="4751">MYQ$28*$C$28</f>
        <v>5.003504571773432E+24</v>
      </c>
      <c r="MYU28" s="613">
        <f t="shared" ref="MYU28" si="4752">MYS$28*$C$28</f>
        <v>5.0535396174911669E+24</v>
      </c>
      <c r="MYW28" s="613">
        <f t="shared" ref="MYW28" si="4753">MYU$28*$C$28</f>
        <v>5.1040750136660786E+24</v>
      </c>
      <c r="MYY28" s="613">
        <f t="shared" ref="MYY28" si="4754">MYW$28*$C$28</f>
        <v>5.1551157638027391E+24</v>
      </c>
      <c r="MZA28" s="613">
        <f t="shared" ref="MZA28" si="4755">MYY$28*$C$28</f>
        <v>5.2066669214407664E+24</v>
      </c>
      <c r="MZC28" s="613">
        <f t="shared" ref="MZC28" si="4756">MZA$28*$C$28</f>
        <v>5.2587335906551745E+24</v>
      </c>
      <c r="MZE28" s="613">
        <f t="shared" ref="MZE28" si="4757">MZC$28*$C$28</f>
        <v>5.3113209265617265E+24</v>
      </c>
      <c r="MZG28" s="613">
        <f t="shared" ref="MZG28" si="4758">MZE$28*$C$28</f>
        <v>5.3644341358273434E+24</v>
      </c>
      <c r="MZI28" s="613">
        <f t="shared" ref="MZI28" si="4759">MZG$28*$C$28</f>
        <v>5.418078477185617E+24</v>
      </c>
      <c r="MZK28" s="613">
        <f t="shared" ref="MZK28" si="4760">MZI$28*$C$28</f>
        <v>5.472259261957473E+24</v>
      </c>
      <c r="MZM28" s="613">
        <f t="shared" ref="MZM28" si="4761">MZK$28*$C$28</f>
        <v>5.5269818545770473E+24</v>
      </c>
      <c r="MZO28" s="613">
        <f t="shared" ref="MZO28" si="4762">MZM$28*$C$28</f>
        <v>5.5822516731228175E+24</v>
      </c>
      <c r="MZQ28" s="613">
        <f t="shared" ref="MZQ28" si="4763">MZO$28*$C$28</f>
        <v>5.6380741898540456E+24</v>
      </c>
      <c r="MZS28" s="613">
        <f t="shared" ref="MZS28" si="4764">MZQ$28*$C$28</f>
        <v>5.6944549317525867E+24</v>
      </c>
      <c r="MZU28" s="613">
        <f t="shared" ref="MZU28" si="4765">MZS$28*$C$28</f>
        <v>5.7513994810701122E+24</v>
      </c>
      <c r="MZW28" s="613">
        <f t="shared" ref="MZW28" si="4766">MZU$28*$C$28</f>
        <v>5.8089134758808129E+24</v>
      </c>
      <c r="MZY28" s="613">
        <f t="shared" ref="MZY28" si="4767">MZW$28*$C$28</f>
        <v>5.8670026106396213E+24</v>
      </c>
      <c r="NAA28" s="613">
        <f t="shared" ref="NAA28" si="4768">MZY$28*$C$28</f>
        <v>5.9256726367460173E+24</v>
      </c>
      <c r="NAC28" s="613">
        <f t="shared" ref="NAC28" si="4769">NAA$28*$C$28</f>
        <v>5.9849293631134775E+24</v>
      </c>
      <c r="NAE28" s="613">
        <f t="shared" ref="NAE28" si="4770">NAC$28*$C$28</f>
        <v>6.0447786567446121E+24</v>
      </c>
      <c r="NAG28" s="613">
        <f t="shared" ref="NAG28" si="4771">NAE$28*$C$28</f>
        <v>6.1052264433120584E+24</v>
      </c>
      <c r="NAI28" s="613">
        <f t="shared" ref="NAI28" si="4772">NAG$28*$C$28</f>
        <v>6.1662787077451791E+24</v>
      </c>
      <c r="NAK28" s="613">
        <f t="shared" ref="NAK28" si="4773">NAI$28*$C$28</f>
        <v>6.2279414948226315E+24</v>
      </c>
      <c r="NAM28" s="613">
        <f t="shared" ref="NAM28" si="4774">NAK$28*$C$28</f>
        <v>6.2902209097708579E+24</v>
      </c>
      <c r="NAO28" s="613">
        <f t="shared" ref="NAO28" si="4775">NAM$28*$C$28</f>
        <v>6.3531231188685664E+24</v>
      </c>
      <c r="NAQ28" s="613">
        <f t="shared" ref="NAQ28" si="4776">NAO$28*$C$28</f>
        <v>6.4166543500572521E+24</v>
      </c>
      <c r="NAS28" s="613">
        <f t="shared" ref="NAS28" si="4777">NAQ$28*$C$28</f>
        <v>6.4808208935578243E+24</v>
      </c>
      <c r="NAU28" s="613">
        <f t="shared" ref="NAU28" si="4778">NAS$28*$C$28</f>
        <v>6.545629102493403E+24</v>
      </c>
      <c r="NAW28" s="613">
        <f t="shared" ref="NAW28" si="4779">NAU$28*$C$28</f>
        <v>6.6110853935183375E+24</v>
      </c>
      <c r="NAY28" s="613">
        <f t="shared" ref="NAY28" si="4780">NAW$28*$C$28</f>
        <v>6.677196247453521E+24</v>
      </c>
      <c r="NBA28" s="613">
        <f t="shared" ref="NBA28" si="4781">NAY$28*$C$28</f>
        <v>6.743968209928056E+24</v>
      </c>
      <c r="NBC28" s="613">
        <f t="shared" ref="NBC28" si="4782">NBA$28*$C$28</f>
        <v>6.8114078920273361E+24</v>
      </c>
      <c r="NBE28" s="613">
        <f t="shared" ref="NBE28" si="4783">NBC$28*$C$28</f>
        <v>6.8795219709476096E+24</v>
      </c>
      <c r="NBG28" s="613">
        <f t="shared" ref="NBG28" si="4784">NBE$28*$C$28</f>
        <v>6.948317190657086E+24</v>
      </c>
      <c r="NBI28" s="613">
        <f t="shared" ref="NBI28" si="4785">NBG$28*$C$28</f>
        <v>7.0178003625636574E+24</v>
      </c>
      <c r="NBK28" s="613">
        <f t="shared" ref="NBK28" si="4786">NBI$28*$C$28</f>
        <v>7.0879783661892937E+24</v>
      </c>
      <c r="NBM28" s="613">
        <f t="shared" ref="NBM28" si="4787">NBK$28*$C$28</f>
        <v>7.1588581498511864E+24</v>
      </c>
      <c r="NBO28" s="613">
        <f t="shared" ref="NBO28" si="4788">NBM$28*$C$28</f>
        <v>7.2304467313496982E+24</v>
      </c>
      <c r="NBQ28" s="613">
        <f t="shared" ref="NBQ28" si="4789">NBO$28*$C$28</f>
        <v>7.3027511986631954E+24</v>
      </c>
      <c r="NBS28" s="613">
        <f t="shared" ref="NBS28" si="4790">NBQ$28*$C$28</f>
        <v>7.3757787106498276E+24</v>
      </c>
      <c r="NBU28" s="613">
        <f t="shared" ref="NBU28" si="4791">NBS$28*$C$28</f>
        <v>7.4495364977563255E+24</v>
      </c>
      <c r="NBW28" s="613">
        <f t="shared" ref="NBW28" si="4792">NBU$28*$C$28</f>
        <v>7.5240318627338888E+24</v>
      </c>
      <c r="NBY28" s="613">
        <f t="shared" ref="NBY28" si="4793">NBW$28*$C$28</f>
        <v>7.5992721813612275E+24</v>
      </c>
      <c r="NCA28" s="613">
        <f t="shared" ref="NCA28" si="4794">NBY$28*$C$28</f>
        <v>7.6752649031748396E+24</v>
      </c>
      <c r="NCC28" s="613">
        <f t="shared" ref="NCC28" si="4795">NCA$28*$C$28</f>
        <v>7.7520175522065878E+24</v>
      </c>
      <c r="NCE28" s="613">
        <f t="shared" ref="NCE28" si="4796">NCC$28*$C$28</f>
        <v>7.8295377277286535E+24</v>
      </c>
      <c r="NCG28" s="613">
        <f t="shared" ref="NCG28" si="4797">NCE$28*$C$28</f>
        <v>7.9078331050059403E+24</v>
      </c>
      <c r="NCI28" s="613">
        <f t="shared" ref="NCI28" si="4798">NCG$28*$C$28</f>
        <v>7.9869114360560003E+24</v>
      </c>
      <c r="NCK28" s="613">
        <f t="shared" ref="NCK28" si="4799">NCI$28*$C$28</f>
        <v>8.0667805504165605E+24</v>
      </c>
      <c r="NCM28" s="613">
        <f t="shared" ref="NCM28" si="4800">NCK$28*$C$28</f>
        <v>8.1474483559207259E+24</v>
      </c>
      <c r="NCO28" s="613">
        <f t="shared" ref="NCO28" si="4801">NCM$28*$C$28</f>
        <v>8.2289228394799327E+24</v>
      </c>
      <c r="NCQ28" s="613">
        <f t="shared" ref="NCQ28" si="4802">NCO$28*$C$28</f>
        <v>8.3112120678747324E+24</v>
      </c>
      <c r="NCS28" s="613">
        <f t="shared" ref="NCS28" si="4803">NCQ$28*$C$28</f>
        <v>8.3943241885534794E+24</v>
      </c>
      <c r="NCU28" s="613">
        <f t="shared" ref="NCU28" si="4804">NCS$28*$C$28</f>
        <v>8.4782674304390141E+24</v>
      </c>
      <c r="NCW28" s="613">
        <f t="shared" ref="NCW28" si="4805">NCU$28*$C$28</f>
        <v>8.563050104743404E+24</v>
      </c>
      <c r="NCY28" s="613">
        <f t="shared" ref="NCY28" si="4806">NCW$28*$C$28</f>
        <v>8.6486806057908384E+24</v>
      </c>
      <c r="NDA28" s="613">
        <f t="shared" ref="NDA28" si="4807">NCY$28*$C$28</f>
        <v>8.735167411848747E+24</v>
      </c>
      <c r="NDC28" s="613">
        <f t="shared" ref="NDC28" si="4808">NDA$28*$C$28</f>
        <v>8.8225190859672344E+24</v>
      </c>
      <c r="NDE28" s="613">
        <f t="shared" ref="NDE28" si="4809">NDC$28*$C$28</f>
        <v>8.9107442768269067E+24</v>
      </c>
      <c r="NDG28" s="613">
        <f t="shared" ref="NDG28" si="4810">NDE$28*$C$28</f>
        <v>8.9998517195951761E+24</v>
      </c>
      <c r="NDI28" s="613">
        <f t="shared" ref="NDI28" si="4811">NDG$28*$C$28</f>
        <v>9.0898502367911276E+24</v>
      </c>
      <c r="NDK28" s="613">
        <f t="shared" ref="NDK28" si="4812">NDI$28*$C$28</f>
        <v>9.1807487391590386E+24</v>
      </c>
      <c r="NDM28" s="613">
        <f t="shared" ref="NDM28" si="4813">NDK$28*$C$28</f>
        <v>9.2725562265506289E+24</v>
      </c>
      <c r="NDO28" s="613">
        <f t="shared" ref="NDO28" si="4814">NDM$28*$C$28</f>
        <v>9.365281788816135E+24</v>
      </c>
      <c r="NDQ28" s="613">
        <f t="shared" ref="NDQ28" si="4815">NDO$28*$C$28</f>
        <v>9.4589346067042964E+24</v>
      </c>
      <c r="NDS28" s="613">
        <f t="shared" ref="NDS28" si="4816">NDQ$28*$C$28</f>
        <v>9.5535239527713394E+24</v>
      </c>
      <c r="NDU28" s="613">
        <f t="shared" ref="NDU28" si="4817">NDS$28*$C$28</f>
        <v>9.6490591922990534E+24</v>
      </c>
      <c r="NDW28" s="613">
        <f t="shared" ref="NDW28" si="4818">NDU$28*$C$28</f>
        <v>9.7455497842220449E+24</v>
      </c>
      <c r="NDY28" s="613">
        <f t="shared" ref="NDY28" si="4819">NDW$28*$C$28</f>
        <v>9.8430052820642654E+24</v>
      </c>
      <c r="NEA28" s="613">
        <f t="shared" ref="NEA28" si="4820">NDY$28*$C$28</f>
        <v>9.9414353348849076E+24</v>
      </c>
      <c r="NEC28" s="613">
        <f t="shared" ref="NEC28" si="4821">NEA$28*$C$28</f>
        <v>1.0040849688233758E+25</v>
      </c>
      <c r="NEE28" s="613">
        <f t="shared" ref="NEE28" si="4822">NEC$28*$C$28</f>
        <v>1.0141258185116094E+25</v>
      </c>
      <c r="NEG28" s="613">
        <f t="shared" ref="NEG28" si="4823">NEE$28*$C$28</f>
        <v>1.0242670766967255E+25</v>
      </c>
      <c r="NEI28" s="613">
        <f t="shared" ref="NEI28" si="4824">NEG$28*$C$28</f>
        <v>1.0345097474636927E+25</v>
      </c>
      <c r="NEK28" s="613">
        <f t="shared" ref="NEK28" si="4825">NEI$28*$C$28</f>
        <v>1.0448548449383297E+25</v>
      </c>
      <c r="NEM28" s="613">
        <f t="shared" ref="NEM28" si="4826">NEK$28*$C$28</f>
        <v>1.055303393387713E+25</v>
      </c>
      <c r="NEO28" s="613">
        <f t="shared" ref="NEO28" si="4827">NEM$28*$C$28</f>
        <v>1.0658564273215902E+25</v>
      </c>
      <c r="NEQ28" s="613">
        <f t="shared" ref="NEQ28" si="4828">NEO$28*$C$28</f>
        <v>1.0765149915948061E+25</v>
      </c>
      <c r="NES28" s="613">
        <f t="shared" ref="NES28" si="4829">NEQ$28*$C$28</f>
        <v>1.0872801415107542E+25</v>
      </c>
      <c r="NEU28" s="613">
        <f t="shared" ref="NEU28" si="4830">NES$28*$C$28</f>
        <v>1.0981529429258618E+25</v>
      </c>
      <c r="NEW28" s="613">
        <f t="shared" ref="NEW28" si="4831">NEU$28*$C$28</f>
        <v>1.1091344723551204E+25</v>
      </c>
      <c r="NEY28" s="613">
        <f t="shared" ref="NEY28" si="4832">NEW$28*$C$28</f>
        <v>1.1202258170786717E+25</v>
      </c>
      <c r="NFA28" s="613">
        <f t="shared" ref="NFA28" si="4833">NEY$28*$C$28</f>
        <v>1.1314280752494584E+25</v>
      </c>
      <c r="NFC28" s="613">
        <f t="shared" ref="NFC28" si="4834">NFA$28*$C$28</f>
        <v>1.142742356001953E+25</v>
      </c>
      <c r="NFE28" s="613">
        <f t="shared" ref="NFE28" si="4835">NFC$28*$C$28</f>
        <v>1.1541697795619726E+25</v>
      </c>
      <c r="NFG28" s="613">
        <f t="shared" ref="NFG28" si="4836">NFE$28*$C$28</f>
        <v>1.1657114773575924E+25</v>
      </c>
      <c r="NFI28" s="613">
        <f t="shared" ref="NFI28" si="4837">NFG$28*$C$28</f>
        <v>1.1773685921311682E+25</v>
      </c>
      <c r="NFK28" s="613">
        <f t="shared" ref="NFK28" si="4838">NFI$28*$C$28</f>
        <v>1.1891422780524799E+25</v>
      </c>
      <c r="NFM28" s="613">
        <f t="shared" ref="NFM28" si="4839">NFK$28*$C$28</f>
        <v>1.2010337008330048E+25</v>
      </c>
      <c r="NFO28" s="613">
        <f t="shared" ref="NFO28" si="4840">NFM$28*$C$28</f>
        <v>1.2130440378413349E+25</v>
      </c>
      <c r="NFQ28" s="613">
        <f t="shared" ref="NFQ28" si="4841">NFO$28*$C$28</f>
        <v>1.2251744782197482E+25</v>
      </c>
      <c r="NFS28" s="613">
        <f t="shared" ref="NFS28" si="4842">NFQ$28*$C$28</f>
        <v>1.2374262230019458E+25</v>
      </c>
      <c r="NFU28" s="613">
        <f t="shared" ref="NFU28" si="4843">NFS$28*$C$28</f>
        <v>1.2498004852319652E+25</v>
      </c>
      <c r="NFW28" s="613">
        <f t="shared" ref="NFW28" si="4844">NFU$28*$C$28</f>
        <v>1.2622984900842848E+25</v>
      </c>
      <c r="NFY28" s="613">
        <f t="shared" ref="NFY28" si="4845">NFW$28*$C$28</f>
        <v>1.2749214749851276E+25</v>
      </c>
      <c r="NGA28" s="613">
        <f t="shared" ref="NGA28" si="4846">NFY$28*$C$28</f>
        <v>1.2876706897349789E+25</v>
      </c>
      <c r="NGC28" s="613">
        <f t="shared" ref="NGC28" si="4847">NGA$28*$C$28</f>
        <v>1.3005473966323288E+25</v>
      </c>
      <c r="NGE28" s="613">
        <f t="shared" ref="NGE28" si="4848">NGC$28*$C$28</f>
        <v>1.3135528705986521E+25</v>
      </c>
      <c r="NGG28" s="613">
        <f t="shared" ref="NGG28" si="4849">NGE$28*$C$28</f>
        <v>1.3266883993046388E+25</v>
      </c>
      <c r="NGI28" s="613">
        <f t="shared" ref="NGI28" si="4850">NGG$28*$C$28</f>
        <v>1.3399552832976851E+25</v>
      </c>
      <c r="NGK28" s="613">
        <f t="shared" ref="NGK28" si="4851">NGI$28*$C$28</f>
        <v>1.353354836130662E+25</v>
      </c>
      <c r="NGM28" s="613">
        <f t="shared" ref="NGM28" si="4852">NGK$28*$C$28</f>
        <v>1.3668883844919687E+25</v>
      </c>
      <c r="NGO28" s="613">
        <f t="shared" ref="NGO28" si="4853">NGM$28*$C$28</f>
        <v>1.3805572683368885E+25</v>
      </c>
      <c r="NGQ28" s="613">
        <f t="shared" ref="NGQ28" si="4854">NGO$28*$C$28</f>
        <v>1.3943628410202573E+25</v>
      </c>
      <c r="NGS28" s="613">
        <f t="shared" ref="NGS28" si="4855">NGQ$28*$C$28</f>
        <v>1.4083064694304599E+25</v>
      </c>
      <c r="NGU28" s="613">
        <f t="shared" ref="NGU28" si="4856">NGS$28*$C$28</f>
        <v>1.4223895341247646E+25</v>
      </c>
      <c r="NGW28" s="613">
        <f t="shared" ref="NGW28" si="4857">NGU$28*$C$28</f>
        <v>1.4366134294660122E+25</v>
      </c>
      <c r="NGY28" s="613">
        <f t="shared" ref="NGY28" si="4858">NGW$28*$C$28</f>
        <v>1.4509795637606723E+25</v>
      </c>
      <c r="NHA28" s="613">
        <f t="shared" ref="NHA28" si="4859">NGY$28*$C$28</f>
        <v>1.4654893593982791E+25</v>
      </c>
      <c r="NHC28" s="613">
        <f t="shared" ref="NHC28" si="4860">NHA$28*$C$28</f>
        <v>1.480144252992262E+25</v>
      </c>
      <c r="NHE28" s="613">
        <f t="shared" ref="NHE28" si="4861">NHC$28*$C$28</f>
        <v>1.4949456955221846E+25</v>
      </c>
      <c r="NHG28" s="613">
        <f t="shared" ref="NHG28" si="4862">NHE$28*$C$28</f>
        <v>1.5098951524774064E+25</v>
      </c>
      <c r="NHI28" s="613">
        <f t="shared" ref="NHI28" si="4863">NHG$28*$C$28</f>
        <v>1.5249941040021803E+25</v>
      </c>
      <c r="NHK28" s="613">
        <f t="shared" ref="NHK28" si="4864">NHI$28*$C$28</f>
        <v>1.5402440450422022E+25</v>
      </c>
      <c r="NHM28" s="613">
        <f t="shared" ref="NHM28" si="4865">NHK$28*$C$28</f>
        <v>1.5556464854926242E+25</v>
      </c>
      <c r="NHO28" s="613">
        <f t="shared" ref="NHO28" si="4866">NHM$28*$C$28</f>
        <v>1.5712029503475505E+25</v>
      </c>
      <c r="NHQ28" s="613">
        <f t="shared" ref="NHQ28" si="4867">NHO$28*$C$28</f>
        <v>1.5869149798510261E+25</v>
      </c>
      <c r="NHS28" s="613">
        <f t="shared" ref="NHS28" si="4868">NHQ$28*$C$28</f>
        <v>1.6027841296495362E+25</v>
      </c>
      <c r="NHU28" s="613">
        <f t="shared" ref="NHU28" si="4869">NHS$28*$C$28</f>
        <v>1.6188119709460316E+25</v>
      </c>
      <c r="NHW28" s="613">
        <f t="shared" ref="NHW28" si="4870">NHU$28*$C$28</f>
        <v>1.635000090655492E+25</v>
      </c>
      <c r="NHY28" s="613">
        <f t="shared" ref="NHY28" si="4871">NHW$28*$C$28</f>
        <v>1.651350091562047E+25</v>
      </c>
      <c r="NIA28" s="613">
        <f t="shared" ref="NIA28" si="4872">NHY$28*$C$28</f>
        <v>1.6678635924776676E+25</v>
      </c>
      <c r="NIC28" s="613">
        <f t="shared" ref="NIC28" si="4873">NIA$28*$C$28</f>
        <v>1.6845422284024442E+25</v>
      </c>
      <c r="NIE28" s="613">
        <f t="shared" ref="NIE28" si="4874">NIC$28*$C$28</f>
        <v>1.7013876506864687E+25</v>
      </c>
      <c r="NIG28" s="613">
        <f t="shared" ref="NIG28" si="4875">NIE$28*$C$28</f>
        <v>1.7184015271933333E+25</v>
      </c>
      <c r="NII28" s="613">
        <f t="shared" ref="NII28" si="4876">NIG$28*$C$28</f>
        <v>1.7355855424652666E+25</v>
      </c>
      <c r="NIK28" s="613">
        <f t="shared" ref="NIK28" si="4877">NII$28*$C$28</f>
        <v>1.7529413978899193E+25</v>
      </c>
      <c r="NIM28" s="613">
        <f t="shared" ref="NIM28" si="4878">NIK$28*$C$28</f>
        <v>1.7704708118688186E+25</v>
      </c>
      <c r="NIO28" s="613">
        <f t="shared" ref="NIO28" si="4879">NIM$28*$C$28</f>
        <v>1.7881755199875067E+25</v>
      </c>
      <c r="NIQ28" s="613">
        <f t="shared" ref="NIQ28" si="4880">NIO$28*$C$28</f>
        <v>1.8060572751873818E+25</v>
      </c>
      <c r="NIS28" s="613">
        <f t="shared" ref="NIS28" si="4881">NIQ$28*$C$28</f>
        <v>1.8241178479392555E+25</v>
      </c>
      <c r="NIU28" s="613">
        <f t="shared" ref="NIU28" si="4882">NIS$28*$C$28</f>
        <v>1.8423590264186482E+25</v>
      </c>
      <c r="NIW28" s="613">
        <f t="shared" ref="NIW28" si="4883">NIU$28*$C$28</f>
        <v>1.8607826166828346E+25</v>
      </c>
      <c r="NIY28" s="613">
        <f t="shared" ref="NIY28" si="4884">NIW$28*$C$28</f>
        <v>1.8793904428496629E+25</v>
      </c>
      <c r="NJA28" s="613">
        <f t="shared" ref="NJA28" si="4885">NIY$28*$C$28</f>
        <v>1.8981843472781596E+25</v>
      </c>
      <c r="NJC28" s="613">
        <f t="shared" ref="NJC28" si="4886">NJA$28*$C$28</f>
        <v>1.9171661907509413E+25</v>
      </c>
      <c r="NJE28" s="613">
        <f t="shared" ref="NJE28" si="4887">NJC$28*$C$28</f>
        <v>1.9363378526584505E+25</v>
      </c>
      <c r="NJG28" s="613">
        <f t="shared" ref="NJG28" si="4888">NJE$28*$C$28</f>
        <v>1.955701231185035E+25</v>
      </c>
      <c r="NJI28" s="613">
        <f t="shared" ref="NJI28" si="4889">NJG$28*$C$28</f>
        <v>1.9752582434968855E+25</v>
      </c>
      <c r="NJK28" s="613">
        <f t="shared" ref="NJK28" si="4890">NJI$28*$C$28</f>
        <v>1.9950108259318543E+25</v>
      </c>
      <c r="NJM28" s="613">
        <f t="shared" ref="NJM28" si="4891">NJK$28*$C$28</f>
        <v>2.0149609341911728E+25</v>
      </c>
      <c r="NJO28" s="613">
        <f t="shared" ref="NJO28" si="4892">NJM$28*$C$28</f>
        <v>2.0351105435330844E+25</v>
      </c>
      <c r="NJQ28" s="613">
        <f t="shared" ref="NJQ28" si="4893">NJO$28*$C$28</f>
        <v>2.055461648968415E+25</v>
      </c>
      <c r="NJS28" s="613">
        <f t="shared" ref="NJS28" si="4894">NJQ$28*$C$28</f>
        <v>2.0760162654580992E+25</v>
      </c>
      <c r="NJU28" s="613">
        <f t="shared" ref="NJU28" si="4895">NJS$28*$C$28</f>
        <v>2.0967764281126801E+25</v>
      </c>
      <c r="NJW28" s="613">
        <f t="shared" ref="NJW28" si="4896">NJU$28*$C$28</f>
        <v>2.117744192393807E+25</v>
      </c>
      <c r="NJY28" s="613">
        <f t="shared" ref="NJY28" si="4897">NJW$28*$C$28</f>
        <v>2.1389216343177449E+25</v>
      </c>
      <c r="NKA28" s="613">
        <f t="shared" ref="NKA28" si="4898">NJY$28*$C$28</f>
        <v>2.1603108506609224E+25</v>
      </c>
      <c r="NKC28" s="613">
        <f t="shared" ref="NKC28" si="4899">NKA$28*$C$28</f>
        <v>2.1819139591675316E+25</v>
      </c>
      <c r="NKE28" s="613">
        <f t="shared" ref="NKE28" si="4900">NKC$28*$C$28</f>
        <v>2.203733098759207E+25</v>
      </c>
      <c r="NKG28" s="613">
        <f t="shared" ref="NKG28" si="4901">NKE$28*$C$28</f>
        <v>2.2257704297467989E+25</v>
      </c>
      <c r="NKI28" s="613">
        <f t="shared" ref="NKI28" si="4902">NKG$28*$C$28</f>
        <v>2.248028134044267E+25</v>
      </c>
      <c r="NKK28" s="613">
        <f t="shared" ref="NKK28" si="4903">NKI$28*$C$28</f>
        <v>2.2705084153847095E+25</v>
      </c>
      <c r="NKM28" s="613">
        <f t="shared" ref="NKM28" si="4904">NKK$28*$C$28</f>
        <v>2.2932134995385566E+25</v>
      </c>
      <c r="NKO28" s="613">
        <f t="shared" ref="NKO28" si="4905">NKM$28*$C$28</f>
        <v>2.3161456345339424E+25</v>
      </c>
      <c r="NKQ28" s="613">
        <f t="shared" ref="NKQ28" si="4906">NKO$28*$C$28</f>
        <v>2.3393070908792819E+25</v>
      </c>
      <c r="NKS28" s="613">
        <f t="shared" ref="NKS28" si="4907">NKQ$28*$C$28</f>
        <v>2.3627001617880745E+25</v>
      </c>
      <c r="NKU28" s="613">
        <f t="shared" ref="NKU28" si="4908">NKS$28*$C$28</f>
        <v>2.3863271634059553E+25</v>
      </c>
      <c r="NKW28" s="613">
        <f t="shared" ref="NKW28" si="4909">NKU$28*$C$28</f>
        <v>2.4101904350400148E+25</v>
      </c>
      <c r="NKY28" s="613">
        <f t="shared" ref="NKY28" si="4910">NKW$28*$C$28</f>
        <v>2.4342923393904151E+25</v>
      </c>
      <c r="NLA28" s="613">
        <f t="shared" ref="NLA28" si="4911">NKY$28*$C$28</f>
        <v>2.458635262784319E+25</v>
      </c>
      <c r="NLC28" s="613">
        <f t="shared" ref="NLC28" si="4912">NLA$28*$C$28</f>
        <v>2.4832216154121621E+25</v>
      </c>
      <c r="NLE28" s="613">
        <f t="shared" ref="NLE28" si="4913">NLC$28*$C$28</f>
        <v>2.5080538315662839E+25</v>
      </c>
      <c r="NLG28" s="613">
        <f t="shared" ref="NLG28" si="4914">NLE$28*$C$28</f>
        <v>2.5331343698819466E+25</v>
      </c>
      <c r="NLI28" s="613">
        <f t="shared" ref="NLI28" si="4915">NLG$28*$C$28</f>
        <v>2.558465713580766E+25</v>
      </c>
      <c r="NLK28" s="613">
        <f t="shared" ref="NLK28" si="4916">NLI$28*$C$28</f>
        <v>2.5840503707165738E+25</v>
      </c>
      <c r="NLM28" s="613">
        <f t="shared" ref="NLM28" si="4917">NLK$28*$C$28</f>
        <v>2.6098908744237395E+25</v>
      </c>
      <c r="NLO28" s="613">
        <f t="shared" ref="NLO28" si="4918">NLM$28*$C$28</f>
        <v>2.6359897831679769E+25</v>
      </c>
      <c r="NLQ28" s="613">
        <f t="shared" ref="NLQ28" si="4919">NLO$28*$C$28</f>
        <v>2.6623496809996565E+25</v>
      </c>
      <c r="NLS28" s="613">
        <f t="shared" ref="NLS28" si="4920">NLQ$28*$C$28</f>
        <v>2.6889731778096533E+25</v>
      </c>
      <c r="NLU28" s="613">
        <f t="shared" ref="NLU28" si="4921">NLS$28*$C$28</f>
        <v>2.7158629095877497E+25</v>
      </c>
      <c r="NLW28" s="613">
        <f t="shared" ref="NLW28" si="4922">NLU$28*$C$28</f>
        <v>2.7430215386836273E+25</v>
      </c>
      <c r="NLY28" s="613">
        <f t="shared" ref="NLY28" si="4923">NLW$28*$C$28</f>
        <v>2.7704517540704637E+25</v>
      </c>
      <c r="NMA28" s="613">
        <f t="shared" ref="NMA28" si="4924">NLY$28*$C$28</f>
        <v>2.7981562716111685E+25</v>
      </c>
      <c r="NMC28" s="613">
        <f t="shared" ref="NMC28" si="4925">NMA$28*$C$28</f>
        <v>2.8261378343272801E+25</v>
      </c>
      <c r="NME28" s="613">
        <f t="shared" ref="NME28" si="4926">NMC$28*$C$28</f>
        <v>2.8543992126705528E+25</v>
      </c>
      <c r="NMG28" s="613">
        <f t="shared" ref="NMG28" si="4927">NME$28*$C$28</f>
        <v>2.8829432047972581E+25</v>
      </c>
      <c r="NMI28" s="613">
        <f t="shared" ref="NMI28" si="4928">NMG$28*$C$28</f>
        <v>2.9117726368452309E+25</v>
      </c>
      <c r="NMK28" s="613">
        <f t="shared" ref="NMK28" si="4929">NMI$28*$C$28</f>
        <v>2.9408903632136832E+25</v>
      </c>
      <c r="NMM28" s="613">
        <f t="shared" ref="NMM28" si="4930">NMK$28*$C$28</f>
        <v>2.9702992668458199E+25</v>
      </c>
      <c r="NMO28" s="613">
        <f t="shared" ref="NMO28" si="4931">NMM$28*$C$28</f>
        <v>3.0000022595142781E+25</v>
      </c>
      <c r="NMQ28" s="613">
        <f t="shared" ref="NMQ28" si="4932">NMO$28*$C$28</f>
        <v>3.0300022821094208E+25</v>
      </c>
      <c r="NMS28" s="613">
        <f t="shared" ref="NMS28" si="4933">NMQ$28*$C$28</f>
        <v>3.060302304930515E+25</v>
      </c>
      <c r="NMU28" s="613">
        <f t="shared" ref="NMU28" si="4934">NMS$28*$C$28</f>
        <v>3.09090532797982E+25</v>
      </c>
      <c r="NMW28" s="613">
        <f t="shared" ref="NMW28" si="4935">NMU$28*$C$28</f>
        <v>3.1218143812596183E+25</v>
      </c>
      <c r="NMY28" s="613">
        <f t="shared" ref="NMY28" si="4936">NMW$28*$C$28</f>
        <v>3.1530325250722144E+25</v>
      </c>
      <c r="NNA28" s="613">
        <f t="shared" ref="NNA28" si="4937">NMY$28*$C$28</f>
        <v>3.1845628503229365E+25</v>
      </c>
      <c r="NNC28" s="613">
        <f t="shared" ref="NNC28" si="4938">NNA$28*$C$28</f>
        <v>3.2164084788261659E+25</v>
      </c>
      <c r="NNE28" s="613">
        <f t="shared" ref="NNE28" si="4939">NNC$28*$C$28</f>
        <v>3.2485725636144275E+25</v>
      </c>
      <c r="NNG28" s="613">
        <f t="shared" ref="NNG28" si="4940">NNE$28*$C$28</f>
        <v>3.2810582892505719E+25</v>
      </c>
      <c r="NNI28" s="613">
        <f t="shared" ref="NNI28" si="4941">NNG$28*$C$28</f>
        <v>3.3138688721430778E+25</v>
      </c>
      <c r="NNK28" s="613">
        <f t="shared" ref="NNK28" si="4942">NNI$28*$C$28</f>
        <v>3.3470075608645088E+25</v>
      </c>
      <c r="NNM28" s="613">
        <f t="shared" ref="NNM28" si="4943">NNK$28*$C$28</f>
        <v>3.3804776364731538E+25</v>
      </c>
      <c r="NNO28" s="613">
        <f t="shared" ref="NNO28" si="4944">NNM$28*$C$28</f>
        <v>3.4142824128378855E+25</v>
      </c>
      <c r="NNQ28" s="613">
        <f t="shared" ref="NNQ28" si="4945">NNO$28*$C$28</f>
        <v>3.4484252369662642E+25</v>
      </c>
      <c r="NNS28" s="613">
        <f t="shared" ref="NNS28" si="4946">NNQ$28*$C$28</f>
        <v>3.4829094893359267E+25</v>
      </c>
      <c r="NNU28" s="613">
        <f t="shared" ref="NNU28" si="4947">NNS$28*$C$28</f>
        <v>3.5177385842292858E+25</v>
      </c>
      <c r="NNW28" s="613">
        <f t="shared" ref="NNW28" si="4948">NNU$28*$C$28</f>
        <v>3.5529159700715788E+25</v>
      </c>
      <c r="NNY28" s="613">
        <f t="shared" ref="NNY28" si="4949">NNW$28*$C$28</f>
        <v>3.5884451297722947E+25</v>
      </c>
      <c r="NOA28" s="613">
        <f t="shared" ref="NOA28" si="4950">NNY$28*$C$28</f>
        <v>3.6243295810700178E+25</v>
      </c>
      <c r="NOC28" s="613">
        <f t="shared" ref="NOC28" si="4951">NOA$28*$C$28</f>
        <v>3.6605728768807179E+25</v>
      </c>
      <c r="NOE28" s="613">
        <f t="shared" ref="NOE28" si="4952">NOC$28*$C$28</f>
        <v>3.6971786056495253E+25</v>
      </c>
      <c r="NOG28" s="613">
        <f t="shared" ref="NOG28" si="4953">NOE$28*$C$28</f>
        <v>3.7341503917060207E+25</v>
      </c>
      <c r="NOI28" s="613">
        <f t="shared" ref="NOI28" si="4954">NOG$28*$C$28</f>
        <v>3.7714918956230808E+25</v>
      </c>
      <c r="NOK28" s="613">
        <f t="shared" ref="NOK28" si="4955">NOI$28*$C$28</f>
        <v>3.8092068145793119E+25</v>
      </c>
      <c r="NOM28" s="613">
        <f t="shared" ref="NOM28" si="4956">NOK$28*$C$28</f>
        <v>3.8472988827251051E+25</v>
      </c>
      <c r="NOO28" s="613">
        <f t="shared" ref="NOO28" si="4957">NOM$28*$C$28</f>
        <v>3.8857718715523566E+25</v>
      </c>
      <c r="NOQ28" s="613">
        <f t="shared" ref="NOQ28" si="4958">NOO$28*$C$28</f>
        <v>3.9246295902678803E+25</v>
      </c>
      <c r="NOS28" s="613">
        <f t="shared" ref="NOS28" si="4959">NOQ$28*$C$28</f>
        <v>3.9638758861705594E+25</v>
      </c>
      <c r="NOU28" s="613">
        <f t="shared" ref="NOU28" si="4960">NOS$28*$C$28</f>
        <v>4.0035146450322648E+25</v>
      </c>
      <c r="NOW28" s="613">
        <f t="shared" ref="NOW28" si="4961">NOU$28*$C$28</f>
        <v>4.0435497914825876E+25</v>
      </c>
      <c r="NOY28" s="613">
        <f t="shared" ref="NOY28" si="4962">NOW$28*$C$28</f>
        <v>4.0839852893974134E+25</v>
      </c>
      <c r="NPA28" s="613">
        <f t="shared" ref="NPA28" si="4963">NOY$28*$C$28</f>
        <v>4.1248251422913878E+25</v>
      </c>
      <c r="NPC28" s="613">
        <f t="shared" ref="NPC28" si="4964">NPA$28*$C$28</f>
        <v>4.1660733937143013E+25</v>
      </c>
      <c r="NPE28" s="613">
        <f t="shared" ref="NPE28" si="4965">NPC$28*$C$28</f>
        <v>4.2077341276514443E+25</v>
      </c>
      <c r="NPG28" s="613">
        <f t="shared" ref="NPG28" si="4966">NPE$28*$C$28</f>
        <v>4.2498114689279587E+25</v>
      </c>
      <c r="NPI28" s="613">
        <f t="shared" ref="NPI28" si="4967">NPG$28*$C$28</f>
        <v>4.2923095836172386E+25</v>
      </c>
      <c r="NPK28" s="613">
        <f t="shared" ref="NPK28" si="4968">NPI$28*$C$28</f>
        <v>4.3352326794534112E+25</v>
      </c>
      <c r="NPM28" s="613">
        <f t="shared" ref="NPM28" si="4969">NPK$28*$C$28</f>
        <v>4.378585006247945E+25</v>
      </c>
      <c r="NPO28" s="613">
        <f t="shared" ref="NPO28" si="4970">NPM$28*$C$28</f>
        <v>4.4223708563104248E+25</v>
      </c>
      <c r="NPQ28" s="613">
        <f t="shared" ref="NPQ28" si="4971">NPO$28*$C$28</f>
        <v>4.4665945648735294E+25</v>
      </c>
      <c r="NPS28" s="613">
        <f t="shared" ref="NPS28" si="4972">NPQ$28*$C$28</f>
        <v>4.5112605105222647E+25</v>
      </c>
      <c r="NPU28" s="613">
        <f t="shared" ref="NPU28" si="4973">NPS$28*$C$28</f>
        <v>4.5563731156274872E+25</v>
      </c>
      <c r="NPW28" s="613">
        <f t="shared" ref="NPW28" si="4974">NPU$28*$C$28</f>
        <v>4.6019368467837623E+25</v>
      </c>
      <c r="NPY28" s="613">
        <f t="shared" ref="NPY28" si="4975">NPW$28*$C$28</f>
        <v>4.6479562152515998E+25</v>
      </c>
      <c r="NQA28" s="613">
        <f t="shared" ref="NQA28" si="4976">NPY$28*$C$28</f>
        <v>4.6944357774041161E+25</v>
      </c>
      <c r="NQC28" s="613">
        <f t="shared" ref="NQC28" si="4977">NQA$28*$C$28</f>
        <v>4.7413801351781575E+25</v>
      </c>
      <c r="NQE28" s="613">
        <f t="shared" ref="NQE28" si="4978">NQC$28*$C$28</f>
        <v>4.788793936529939E+25</v>
      </c>
      <c r="NQG28" s="613">
        <f t="shared" ref="NQG28" si="4979">NQE$28*$C$28</f>
        <v>4.8366818758952387E+25</v>
      </c>
      <c r="NQI28" s="613">
        <f t="shared" ref="NQI28" si="4980">NQG$28*$C$28</f>
        <v>4.8850486946541913E+25</v>
      </c>
      <c r="NQK28" s="613">
        <f t="shared" ref="NQK28" si="4981">NQI$28*$C$28</f>
        <v>4.9338991816007336E+25</v>
      </c>
      <c r="NQM28" s="613">
        <f t="shared" ref="NQM28" si="4982">NQK$28*$C$28</f>
        <v>4.983238173416741E+25</v>
      </c>
      <c r="NQO28" s="613">
        <f t="shared" ref="NQO28" si="4983">NQM$28*$C$28</f>
        <v>5.0330705551509087E+25</v>
      </c>
      <c r="NQQ28" s="613">
        <f t="shared" ref="NQQ28" si="4984">NQO$28*$C$28</f>
        <v>5.0834012607024175E+25</v>
      </c>
      <c r="NQS28" s="613">
        <f t="shared" ref="NQS28" si="4985">NQQ$28*$C$28</f>
        <v>5.1342352733094419E+25</v>
      </c>
      <c r="NQU28" s="613">
        <f t="shared" ref="NQU28" si="4986">NQS$28*$C$28</f>
        <v>5.1855776260425363E+25</v>
      </c>
      <c r="NQW28" s="613">
        <f t="shared" ref="NQW28" si="4987">NQU$28*$C$28</f>
        <v>5.2374334023029622E+25</v>
      </c>
      <c r="NQY28" s="613">
        <f t="shared" ref="NQY28" si="4988">NQW$28*$C$28</f>
        <v>5.289807736325992E+25</v>
      </c>
      <c r="NRA28" s="613">
        <f t="shared" ref="NRA28" si="4989">NQY$28*$C$28</f>
        <v>5.3427058136892519E+25</v>
      </c>
      <c r="NRC28" s="613">
        <f t="shared" ref="NRC28" si="4990">NRA$28*$C$28</f>
        <v>5.3961328718261445E+25</v>
      </c>
      <c r="NRE28" s="613">
        <f t="shared" ref="NRE28" si="4991">NRC$28*$C$28</f>
        <v>5.4500942005444057E+25</v>
      </c>
      <c r="NRG28" s="613">
        <f t="shared" ref="NRG28" si="4992">NRE$28*$C$28</f>
        <v>5.5045951425498499E+25</v>
      </c>
      <c r="NRI28" s="613">
        <f t="shared" ref="NRI28" si="4993">NRG$28*$C$28</f>
        <v>5.5596410939753482E+25</v>
      </c>
      <c r="NRK28" s="613">
        <f t="shared" ref="NRK28" si="4994">NRI$28*$C$28</f>
        <v>5.6152375049151015E+25</v>
      </c>
      <c r="NRM28" s="613">
        <f t="shared" ref="NRM28" si="4995">NRK$28*$C$28</f>
        <v>5.6713898799642528E+25</v>
      </c>
      <c r="NRO28" s="613">
        <f t="shared" ref="NRO28" si="4996">NRM$28*$C$28</f>
        <v>5.7281037787638954E+25</v>
      </c>
      <c r="NRQ28" s="613">
        <f t="shared" ref="NRQ28" si="4997">NRO$28*$C$28</f>
        <v>5.7853848165515343E+25</v>
      </c>
      <c r="NRS28" s="613">
        <f t="shared" ref="NRS28" si="4998">NRQ$28*$C$28</f>
        <v>5.8432386647170497E+25</v>
      </c>
      <c r="NRU28" s="613">
        <f t="shared" ref="NRU28" si="4999">NRS$28*$C$28</f>
        <v>5.9016710513642199E+25</v>
      </c>
      <c r="NRW28" s="613">
        <f t="shared" ref="NRW28" si="5000">NRU$28*$C$28</f>
        <v>5.960687761877862E+25</v>
      </c>
      <c r="NRY28" s="613">
        <f t="shared" ref="NRY28" si="5001">NRW$28*$C$28</f>
        <v>6.0202946394966404E+25</v>
      </c>
      <c r="NSA28" s="613">
        <f t="shared" ref="NSA28" si="5002">NRY$28*$C$28</f>
        <v>6.0804975858916066E+25</v>
      </c>
      <c r="NSC28" s="613">
        <f t="shared" ref="NSC28" si="5003">NSA$28*$C$28</f>
        <v>6.1413025617505226E+25</v>
      </c>
      <c r="NSE28" s="613">
        <f t="shared" ref="NSE28" si="5004">NSC$28*$C$28</f>
        <v>6.2027155873680281E+25</v>
      </c>
      <c r="NSG28" s="613">
        <f t="shared" ref="NSG28" si="5005">NSE$28*$C$28</f>
        <v>6.264742743241708E+25</v>
      </c>
      <c r="NSI28" s="613">
        <f t="shared" ref="NSI28" si="5006">NSG$28*$C$28</f>
        <v>6.3273901706741253E+25</v>
      </c>
      <c r="NSK28" s="613">
        <f t="shared" ref="NSK28" si="5007">NSI$28*$C$28</f>
        <v>6.3906640723808664E+25</v>
      </c>
      <c r="NSM28" s="613">
        <f t="shared" ref="NSM28" si="5008">NSK$28*$C$28</f>
        <v>6.4545707131046752E+25</v>
      </c>
      <c r="NSO28" s="613">
        <f t="shared" ref="NSO28" si="5009">NSM$28*$C$28</f>
        <v>6.519116420235722E+25</v>
      </c>
      <c r="NSQ28" s="613">
        <f t="shared" ref="NSQ28" si="5010">NSO$28*$C$28</f>
        <v>6.5843075844380795E+25</v>
      </c>
      <c r="NSS28" s="613">
        <f t="shared" ref="NSS28" si="5011">NSQ$28*$C$28</f>
        <v>6.6501506602824606E+25</v>
      </c>
      <c r="NSU28" s="613">
        <f t="shared" ref="NSU28" si="5012">NSS$28*$C$28</f>
        <v>6.7166521668852855E+25</v>
      </c>
      <c r="NSW28" s="613">
        <f t="shared" ref="NSW28" si="5013">NSU$28*$C$28</f>
        <v>6.7838186885541384E+25</v>
      </c>
      <c r="NSY28" s="613">
        <f t="shared" ref="NSY28" si="5014">NSW$28*$C$28</f>
        <v>6.8516568754396803E+25</v>
      </c>
      <c r="NTA28" s="613">
        <f t="shared" ref="NTA28" si="5015">NSY$28*$C$28</f>
        <v>6.920173444194077E+25</v>
      </c>
      <c r="NTC28" s="613">
        <f t="shared" ref="NTC28" si="5016">NTA$28*$C$28</f>
        <v>6.9893751786360176E+25</v>
      </c>
      <c r="NTE28" s="613">
        <f t="shared" ref="NTE28" si="5017">NTC$28*$C$28</f>
        <v>7.0592689304223776E+25</v>
      </c>
      <c r="NTG28" s="613">
        <f t="shared" ref="NTG28" si="5018">NTE$28*$C$28</f>
        <v>7.1298616197266011E+25</v>
      </c>
      <c r="NTI28" s="613">
        <f t="shared" ref="NTI28" si="5019">NTG$28*$C$28</f>
        <v>7.2011602359238669E+25</v>
      </c>
      <c r="NTK28" s="613">
        <f t="shared" ref="NTK28" si="5020">NTI$28*$C$28</f>
        <v>7.2731718382831053E+25</v>
      </c>
      <c r="NTM28" s="613">
        <f t="shared" ref="NTM28" si="5021">NTK$28*$C$28</f>
        <v>7.3459035566659367E+25</v>
      </c>
      <c r="NTO28" s="613">
        <f t="shared" ref="NTO28" si="5022">NTM$28*$C$28</f>
        <v>7.419362592232596E+25</v>
      </c>
      <c r="NTQ28" s="613">
        <f t="shared" ref="NTQ28" si="5023">NTO$28*$C$28</f>
        <v>7.4935562181549221E+25</v>
      </c>
      <c r="NTS28" s="613">
        <f t="shared" ref="NTS28" si="5024">NTQ$28*$C$28</f>
        <v>7.568491780336471E+25</v>
      </c>
      <c r="NTU28" s="613">
        <f t="shared" ref="NTU28" si="5025">NTS$28*$C$28</f>
        <v>7.6441766981398356E+25</v>
      </c>
      <c r="NTW28" s="613">
        <f t="shared" ref="NTW28" si="5026">NTU$28*$C$28</f>
        <v>7.7206184651212344E+25</v>
      </c>
      <c r="NTY28" s="613">
        <f t="shared" ref="NTY28" si="5027">NTW$28*$C$28</f>
        <v>7.7978246497724464E+25</v>
      </c>
      <c r="NUA28" s="613">
        <f t="shared" ref="NUA28" si="5028">NTY$28*$C$28</f>
        <v>7.8758028962701704E+25</v>
      </c>
      <c r="NUC28" s="613">
        <f t="shared" ref="NUC28" si="5029">NUA$28*$C$28</f>
        <v>7.9545609252328724E+25</v>
      </c>
      <c r="NUE28" s="613">
        <f t="shared" ref="NUE28" si="5030">NUC$28*$C$28</f>
        <v>8.0341065344852007E+25</v>
      </c>
      <c r="NUG28" s="613">
        <f t="shared" ref="NUG28" si="5031">NUE$28*$C$28</f>
        <v>8.1144475998300531E+25</v>
      </c>
      <c r="NUI28" s="613">
        <f t="shared" ref="NUI28" si="5032">NUG$28*$C$28</f>
        <v>8.1955920758283541E+25</v>
      </c>
      <c r="NUK28" s="613">
        <f t="shared" ref="NUK28" si="5033">NUI$28*$C$28</f>
        <v>8.2775479965866381E+25</v>
      </c>
      <c r="NUM28" s="613">
        <f t="shared" ref="NUM28" si="5034">NUK$28*$C$28</f>
        <v>8.3603234765525051E+25</v>
      </c>
      <c r="NUO28" s="613">
        <f t="shared" ref="NUO28" si="5035">NUM$28*$C$28</f>
        <v>8.4439267113180303E+25</v>
      </c>
      <c r="NUQ28" s="613">
        <f t="shared" ref="NUQ28" si="5036">NUO$28*$C$28</f>
        <v>8.5283659784312106E+25</v>
      </c>
      <c r="NUS28" s="613">
        <f t="shared" ref="NUS28" si="5037">NUQ$28*$C$28</f>
        <v>8.6136496382155235E+25</v>
      </c>
      <c r="NUU28" s="613">
        <f t="shared" ref="NUU28" si="5038">NUS$28*$C$28</f>
        <v>8.6997861345976787E+25</v>
      </c>
      <c r="NUW28" s="613">
        <f t="shared" ref="NUW28" si="5039">NUU$28*$C$28</f>
        <v>8.786783995943656E+25</v>
      </c>
      <c r="NUY28" s="613">
        <f t="shared" ref="NUY28" si="5040">NUW$28*$C$28</f>
        <v>8.8746518359030924E+25</v>
      </c>
      <c r="NVA28" s="613">
        <f t="shared" ref="NVA28" si="5041">NUY$28*$C$28</f>
        <v>8.9633983542621237E+25</v>
      </c>
      <c r="NVC28" s="613">
        <f t="shared" ref="NVC28" si="5042">NVA$28*$C$28</f>
        <v>9.0530323378047446E+25</v>
      </c>
      <c r="NVE28" s="613">
        <f t="shared" ref="NVE28" si="5043">NVC$28*$C$28</f>
        <v>9.1435626611827915E+25</v>
      </c>
      <c r="NVG28" s="613">
        <f t="shared" ref="NVG28" si="5044">NVE$28*$C$28</f>
        <v>9.2349982877946194E+25</v>
      </c>
      <c r="NVI28" s="613">
        <f t="shared" ref="NVI28" si="5045">NVG$28*$C$28</f>
        <v>9.3273482706725654E+25</v>
      </c>
      <c r="NVK28" s="613">
        <f t="shared" ref="NVK28" si="5046">NVI$28*$C$28</f>
        <v>9.4206217533792919E+25</v>
      </c>
      <c r="NVM28" s="613">
        <f t="shared" ref="NVM28" si="5047">NVK$28*$C$28</f>
        <v>9.5148279709130854E+25</v>
      </c>
      <c r="NVO28" s="613">
        <f t="shared" ref="NVO28" si="5048">NVM$28*$C$28</f>
        <v>9.6099762506222155E+25</v>
      </c>
      <c r="NVQ28" s="613">
        <f t="shared" ref="NVQ28" si="5049">NVO$28*$C$28</f>
        <v>9.7060760131284372E+25</v>
      </c>
      <c r="NVS28" s="613">
        <f t="shared" ref="NVS28" si="5050">NVQ$28*$C$28</f>
        <v>9.8031367732597216E+25</v>
      </c>
      <c r="NVU28" s="613">
        <f t="shared" ref="NVU28" si="5051">NVS$28*$C$28</f>
        <v>9.9011681409923197E+25</v>
      </c>
      <c r="NVW28" s="613">
        <f t="shared" ref="NVW28" si="5052">NVU$28*$C$28</f>
        <v>1.0000179822402243E+26</v>
      </c>
      <c r="NVY28" s="613">
        <f t="shared" ref="NVY28" si="5053">NVW$28*$C$28</f>
        <v>1.0100181620626266E+26</v>
      </c>
      <c r="NWA28" s="613">
        <f t="shared" ref="NWA28" si="5054">NVY$28*$C$28</f>
        <v>1.0201183436832529E+26</v>
      </c>
      <c r="NWC28" s="613">
        <f t="shared" ref="NWC28" si="5055">NWA$28*$C$28</f>
        <v>1.0303195271200854E+26</v>
      </c>
      <c r="NWE28" s="613">
        <f t="shared" ref="NWE28" si="5056">NWC$28*$C$28</f>
        <v>1.0406227223912863E+26</v>
      </c>
      <c r="NWG28" s="613">
        <f t="shared" ref="NWG28" si="5057">NWE$28*$C$28</f>
        <v>1.0510289496151991E+26</v>
      </c>
      <c r="NWI28" s="613">
        <f t="shared" ref="NWI28" si="5058">NWG$28*$C$28</f>
        <v>1.061539239111351E+26</v>
      </c>
      <c r="NWK28" s="613">
        <f t="shared" ref="NWK28" si="5059">NWI$28*$C$28</f>
        <v>1.0721546315024646E+26</v>
      </c>
      <c r="NWM28" s="613">
        <f t="shared" ref="NWM28" si="5060">NWK$28*$C$28</f>
        <v>1.0828761778174892E+26</v>
      </c>
      <c r="NWO28" s="613">
        <f t="shared" ref="NWO28" si="5061">NWM$28*$C$28</f>
        <v>1.0937049395956641E+26</v>
      </c>
      <c r="NWQ28" s="613">
        <f t="shared" ref="NWQ28" si="5062">NWO$28*$C$28</f>
        <v>1.1046419889916208E+26</v>
      </c>
      <c r="NWS28" s="613">
        <f t="shared" ref="NWS28" si="5063">NWQ$28*$C$28</f>
        <v>1.1156884088815371E+26</v>
      </c>
      <c r="NWU28" s="613">
        <f t="shared" ref="NWU28" si="5064">NWS$28*$C$28</f>
        <v>1.1268452929703526E+26</v>
      </c>
      <c r="NWW28" s="613">
        <f t="shared" ref="NWW28" si="5065">NWU$28*$C$28</f>
        <v>1.1381137459000561E+26</v>
      </c>
      <c r="NWY28" s="613">
        <f t="shared" ref="NWY28" si="5066">NWW$28*$C$28</f>
        <v>1.1494948833590567E+26</v>
      </c>
      <c r="NXA28" s="613">
        <f t="shared" ref="NXA28" si="5067">NWY$28*$C$28</f>
        <v>1.1609898321926473E+26</v>
      </c>
      <c r="NXC28" s="613">
        <f t="shared" ref="NXC28" si="5068">NXA$28*$C$28</f>
        <v>1.1725997305145738E+26</v>
      </c>
      <c r="NXE28" s="613">
        <f t="shared" ref="NXE28" si="5069">NXC$28*$C$28</f>
        <v>1.1843257278197196E+26</v>
      </c>
      <c r="NXG28" s="613">
        <f t="shared" ref="NXG28" si="5070">NXE$28*$C$28</f>
        <v>1.1961689850979168E+26</v>
      </c>
      <c r="NXI28" s="613">
        <f t="shared" ref="NXI28" si="5071">NXG$28*$C$28</f>
        <v>1.208130674948896E+26</v>
      </c>
      <c r="NXK28" s="613">
        <f t="shared" ref="NXK28" si="5072">NXI$28*$C$28</f>
        <v>1.220211981698385E+26</v>
      </c>
      <c r="NXM28" s="613">
        <f t="shared" ref="NXM28" si="5073">NXK$28*$C$28</f>
        <v>1.2324141015153689E+26</v>
      </c>
      <c r="NXO28" s="613">
        <f t="shared" ref="NXO28" si="5074">NXM$28*$C$28</f>
        <v>1.2447382425305225E+26</v>
      </c>
      <c r="NXQ28" s="613">
        <f t="shared" ref="NXQ28" si="5075">NXO$28*$C$28</f>
        <v>1.2571856249558278E+26</v>
      </c>
      <c r="NXS28" s="613">
        <f t="shared" ref="NXS28" si="5076">NXQ$28*$C$28</f>
        <v>1.269757481205386E+26</v>
      </c>
      <c r="NXU28" s="613">
        <f t="shared" ref="NXU28" si="5077">NXS$28*$C$28</f>
        <v>1.2824550560174399E+26</v>
      </c>
      <c r="NXW28" s="613">
        <f t="shared" ref="NXW28" si="5078">NXU$28*$C$28</f>
        <v>1.2952796065776143E+26</v>
      </c>
      <c r="NXY28" s="613">
        <f t="shared" ref="NXY28" si="5079">NXW$28*$C$28</f>
        <v>1.3082324026433904E+26</v>
      </c>
      <c r="NYA28" s="613">
        <f t="shared" ref="NYA28" si="5080">NXY$28*$C$28</f>
        <v>1.3213147266698243E+26</v>
      </c>
      <c r="NYC28" s="613">
        <f t="shared" ref="NYC28" si="5081">NYA$28*$C$28</f>
        <v>1.3345278739365225E+26</v>
      </c>
      <c r="NYE28" s="613">
        <f t="shared" ref="NYE28" si="5082">NYC$28*$C$28</f>
        <v>1.3478731526758878E+26</v>
      </c>
      <c r="NYG28" s="613">
        <f t="shared" ref="NYG28" si="5083">NYE$28*$C$28</f>
        <v>1.3613518842026466E+26</v>
      </c>
      <c r="NYI28" s="613">
        <f t="shared" ref="NYI28" si="5084">NYG$28*$C$28</f>
        <v>1.3749654030446731E+26</v>
      </c>
      <c r="NYK28" s="613">
        <f t="shared" ref="NYK28" si="5085">NYI$28*$C$28</f>
        <v>1.3887150570751198E+26</v>
      </c>
      <c r="NYM28" s="613">
        <f t="shared" ref="NYM28" si="5086">NYK$28*$C$28</f>
        <v>1.402602207645871E+26</v>
      </c>
      <c r="NYO28" s="613">
        <f t="shared" ref="NYO28" si="5087">NYM$28*$C$28</f>
        <v>1.4166282297223297E+26</v>
      </c>
      <c r="NYQ28" s="613">
        <f t="shared" ref="NYQ28" si="5088">NYO$28*$C$28</f>
        <v>1.430794512019553E+26</v>
      </c>
      <c r="NYS28" s="613">
        <f t="shared" ref="NYS28" si="5089">NYQ$28*$C$28</f>
        <v>1.4451024571397485E+26</v>
      </c>
      <c r="NYU28" s="613">
        <f t="shared" ref="NYU28" si="5090">NYS$28*$C$28</f>
        <v>1.459553481711146E+26</v>
      </c>
      <c r="NYW28" s="613">
        <f t="shared" ref="NYW28" si="5091">NYU$28*$C$28</f>
        <v>1.4741490165282574E+26</v>
      </c>
      <c r="NYY28" s="613">
        <f t="shared" ref="NYY28" si="5092">NYW$28*$C$28</f>
        <v>1.48889050669354E+26</v>
      </c>
      <c r="NZA28" s="613">
        <f t="shared" ref="NZA28" si="5093">NYY$28*$C$28</f>
        <v>1.5037794117604753E+26</v>
      </c>
      <c r="NZC28" s="613">
        <f t="shared" ref="NZC28" si="5094">NZA$28*$C$28</f>
        <v>1.51881720587808E+26</v>
      </c>
      <c r="NZE28" s="613">
        <f t="shared" ref="NZE28" si="5095">NZC$28*$C$28</f>
        <v>1.5340053779368608E+26</v>
      </c>
      <c r="NZG28" s="613">
        <f t="shared" ref="NZG28" si="5096">NZE$28*$C$28</f>
        <v>1.5493454317162295E+26</v>
      </c>
      <c r="NZI28" s="613">
        <f t="shared" ref="NZI28" si="5097">NZG$28*$C$28</f>
        <v>1.5648388860333918E+26</v>
      </c>
      <c r="NZK28" s="613">
        <f t="shared" ref="NZK28" si="5098">NZI$28*$C$28</f>
        <v>1.5804872748937258E+26</v>
      </c>
      <c r="NZM28" s="613">
        <f t="shared" ref="NZM28" si="5099">NZK$28*$C$28</f>
        <v>1.596292147642663E+26</v>
      </c>
      <c r="NZO28" s="613">
        <f t="shared" ref="NZO28" si="5100">NZM$28*$C$28</f>
        <v>1.6122550691190895E+26</v>
      </c>
      <c r="NZQ28" s="613">
        <f t="shared" ref="NZQ28" si="5101">NZO$28*$C$28</f>
        <v>1.6283776198102806E+26</v>
      </c>
      <c r="NZS28" s="613">
        <f t="shared" ref="NZS28" si="5102">NZQ$28*$C$28</f>
        <v>1.6446613960083834E+26</v>
      </c>
      <c r="NZU28" s="613">
        <f t="shared" ref="NZU28" si="5103">NZS$28*$C$28</f>
        <v>1.6611080099684673E+26</v>
      </c>
      <c r="NZW28" s="613">
        <f t="shared" ref="NZW28" si="5104">NZU$28*$C$28</f>
        <v>1.6777190900681521E+26</v>
      </c>
      <c r="NZY28" s="613">
        <f t="shared" ref="NZY28" si="5105">NZW$28*$C$28</f>
        <v>1.6944962809688336E+26</v>
      </c>
      <c r="OAA28" s="613">
        <f t="shared" ref="OAA28" si="5106">NZY$28*$C$28</f>
        <v>1.711441243778522E+26</v>
      </c>
      <c r="OAC28" s="613">
        <f t="shared" ref="OAC28" si="5107">OAA$28*$C$28</f>
        <v>1.7285556562163074E+26</v>
      </c>
      <c r="OAE28" s="613">
        <f t="shared" ref="OAE28" si="5108">OAC$28*$C$28</f>
        <v>1.7458412127784706E+26</v>
      </c>
      <c r="OAG28" s="613">
        <f t="shared" ref="OAG28" si="5109">OAE$28*$C$28</f>
        <v>1.7632996249062554E+26</v>
      </c>
      <c r="OAI28" s="613">
        <f t="shared" ref="OAI28" si="5110">OAG$28*$C$28</f>
        <v>1.780932621155318E+26</v>
      </c>
      <c r="OAK28" s="613">
        <f t="shared" ref="OAK28" si="5111">OAI$28*$C$28</f>
        <v>1.7987419473668713E+26</v>
      </c>
      <c r="OAM28" s="613">
        <f t="shared" ref="OAM28" si="5112">OAK$28*$C$28</f>
        <v>1.8167293668405398E+26</v>
      </c>
      <c r="OAO28" s="613">
        <f t="shared" ref="OAO28" si="5113">OAM$28*$C$28</f>
        <v>1.8348966605089451E+26</v>
      </c>
      <c r="OAQ28" s="613">
        <f t="shared" ref="OAQ28" si="5114">OAO$28*$C$28</f>
        <v>1.8532456271140345E+26</v>
      </c>
      <c r="OAS28" s="613">
        <f t="shared" ref="OAS28" si="5115">OAQ$28*$C$28</f>
        <v>1.8717780833851749E+26</v>
      </c>
      <c r="OAU28" s="613">
        <f t="shared" ref="OAU28" si="5116">OAS$28*$C$28</f>
        <v>1.8904958642190266E+26</v>
      </c>
      <c r="OAW28" s="613">
        <f t="shared" ref="OAW28" si="5117">OAU$28*$C$28</f>
        <v>1.9094008228612169E+26</v>
      </c>
      <c r="OAY28" s="613">
        <f t="shared" ref="OAY28" si="5118">OAW$28*$C$28</f>
        <v>1.9284948310898292E+26</v>
      </c>
      <c r="OBA28" s="613">
        <f t="shared" ref="OBA28" si="5119">OAY$28*$C$28</f>
        <v>1.9477797794007276E+26</v>
      </c>
      <c r="OBC28" s="613">
        <f t="shared" ref="OBC28" si="5120">OBA$28*$C$28</f>
        <v>1.9672575771947349E+26</v>
      </c>
      <c r="OBE28" s="613">
        <f t="shared" ref="OBE28" si="5121">OBC$28*$C$28</f>
        <v>1.9869301529666821E+26</v>
      </c>
      <c r="OBG28" s="613">
        <f t="shared" ref="OBG28" si="5122">OBE$28*$C$28</f>
        <v>2.0067994544963489E+26</v>
      </c>
      <c r="OBI28" s="613">
        <f t="shared" ref="OBI28" si="5123">OBG$28*$C$28</f>
        <v>2.0268674490413122E+26</v>
      </c>
      <c r="OBK28" s="613">
        <f t="shared" ref="OBK28" si="5124">OBI$28*$C$28</f>
        <v>2.0471361235317254E+26</v>
      </c>
      <c r="OBM28" s="613">
        <f t="shared" ref="OBM28" si="5125">OBK$28*$C$28</f>
        <v>2.0676074847670425E+26</v>
      </c>
      <c r="OBO28" s="613">
        <f t="shared" ref="OBO28" si="5126">OBM$28*$C$28</f>
        <v>2.0882835596147131E+26</v>
      </c>
      <c r="OBQ28" s="613">
        <f t="shared" ref="OBQ28" si="5127">OBO$28*$C$28</f>
        <v>2.1091663952108602E+26</v>
      </c>
      <c r="OBS28" s="613">
        <f t="shared" ref="OBS28" si="5128">OBQ$28*$C$28</f>
        <v>2.1302580591629688E+26</v>
      </c>
      <c r="OBU28" s="613">
        <f t="shared" ref="OBU28" si="5129">OBS$28*$C$28</f>
        <v>2.1515606397545986E+26</v>
      </c>
      <c r="OBW28" s="613">
        <f t="shared" ref="OBW28" si="5130">OBU$28*$C$28</f>
        <v>2.1730762461521445E+26</v>
      </c>
      <c r="OBY28" s="613">
        <f t="shared" ref="OBY28" si="5131">OBW$28*$C$28</f>
        <v>2.1948070086136658E+26</v>
      </c>
      <c r="OCA28" s="613">
        <f t="shared" ref="OCA28" si="5132">OBY$28*$C$28</f>
        <v>2.2167550786998025E+26</v>
      </c>
      <c r="OCC28" s="613">
        <f t="shared" ref="OCC28" si="5133">OCA$28*$C$28</f>
        <v>2.2389226294868004E+26</v>
      </c>
      <c r="OCE28" s="613">
        <f t="shared" ref="OCE28" si="5134">OCC$28*$C$28</f>
        <v>2.2613118557816683E+26</v>
      </c>
      <c r="OCG28" s="613">
        <f t="shared" ref="OCG28" si="5135">OCE$28*$C$28</f>
        <v>2.2839249743394851E+26</v>
      </c>
      <c r="OCI28" s="613">
        <f t="shared" ref="OCI28" si="5136">OCG$28*$C$28</f>
        <v>2.3067642240828799E+26</v>
      </c>
      <c r="OCK28" s="613">
        <f t="shared" ref="OCK28" si="5137">OCI$28*$C$28</f>
        <v>2.3298318663237087E+26</v>
      </c>
      <c r="OCM28" s="613">
        <f t="shared" ref="OCM28" si="5138">OCK$28*$C$28</f>
        <v>2.3531301849869459E+26</v>
      </c>
      <c r="OCO28" s="613">
        <f t="shared" ref="OCO28" si="5139">OCM$28*$C$28</f>
        <v>2.3766614868368155E+26</v>
      </c>
      <c r="OCQ28" s="613">
        <f t="shared" ref="OCQ28" si="5140">OCO$28*$C$28</f>
        <v>2.4004281017051836E+26</v>
      </c>
      <c r="OCS28" s="613">
        <f t="shared" ref="OCS28" si="5141">OCQ$28*$C$28</f>
        <v>2.4244323827222355E+26</v>
      </c>
      <c r="OCU28" s="613">
        <f t="shared" ref="OCU28" si="5142">OCS$28*$C$28</f>
        <v>2.4486767065494579E+26</v>
      </c>
      <c r="OCW28" s="613">
        <f t="shared" ref="OCW28" si="5143">OCU$28*$C$28</f>
        <v>2.4731634736149526E+26</v>
      </c>
      <c r="OCY28" s="613">
        <f t="shared" ref="OCY28" si="5144">OCW$28*$C$28</f>
        <v>2.4978951083511021E+26</v>
      </c>
      <c r="ODA28" s="613">
        <f t="shared" ref="ODA28" si="5145">OCY$28*$C$28</f>
        <v>2.5228740594346131E+26</v>
      </c>
      <c r="ODC28" s="613">
        <f t="shared" ref="ODC28" si="5146">ODA$28*$C$28</f>
        <v>2.5481028000289595E+26</v>
      </c>
      <c r="ODE28" s="613">
        <f t="shared" ref="ODE28" si="5147">ODC$28*$C$28</f>
        <v>2.573583828029249E+26</v>
      </c>
      <c r="ODG28" s="613">
        <f t="shared" ref="ODG28" si="5148">ODE$28*$C$28</f>
        <v>2.5993196663095415E+26</v>
      </c>
      <c r="ODI28" s="613">
        <f t="shared" ref="ODI28" si="5149">ODG$28*$C$28</f>
        <v>2.625312862972637E+26</v>
      </c>
      <c r="ODK28" s="613">
        <f t="shared" ref="ODK28" si="5150">ODI$28*$C$28</f>
        <v>2.6515659916023635E+26</v>
      </c>
      <c r="ODM28" s="613">
        <f t="shared" ref="ODM28" si="5151">ODK$28*$C$28</f>
        <v>2.6780816515183871E+26</v>
      </c>
      <c r="ODO28" s="613">
        <f t="shared" ref="ODO28" si="5152">ODM$28*$C$28</f>
        <v>2.7048624680335711E+26</v>
      </c>
      <c r="ODQ28" s="613">
        <f t="shared" ref="ODQ28" si="5153">ODO$28*$C$28</f>
        <v>2.7319110927139067E+26</v>
      </c>
      <c r="ODS28" s="613">
        <f t="shared" ref="ODS28" si="5154">ODQ$28*$C$28</f>
        <v>2.7592302036410459E+26</v>
      </c>
      <c r="ODU28" s="613">
        <f t="shared" ref="ODU28" si="5155">ODS$28*$C$28</f>
        <v>2.7868225056774564E+26</v>
      </c>
      <c r="ODW28" s="613">
        <f t="shared" ref="ODW28" si="5156">ODU$28*$C$28</f>
        <v>2.8146907307342311E+26</v>
      </c>
      <c r="ODY28" s="613">
        <f t="shared" ref="ODY28" si="5157">ODW$28*$C$28</f>
        <v>2.8428376380415735E+26</v>
      </c>
      <c r="OEA28" s="613">
        <f t="shared" ref="OEA28" si="5158">ODY$28*$C$28</f>
        <v>2.8712660144219891E+26</v>
      </c>
      <c r="OEC28" s="613">
        <f t="shared" ref="OEC28" si="5159">OEA$28*$C$28</f>
        <v>2.899978674566209E+26</v>
      </c>
      <c r="OEE28" s="613">
        <f t="shared" ref="OEE28" si="5160">OEC$28*$C$28</f>
        <v>2.928978461311871E+26</v>
      </c>
      <c r="OEG28" s="613">
        <f t="shared" ref="OEG28" si="5161">OEE$28*$C$28</f>
        <v>2.9582682459249899E+26</v>
      </c>
      <c r="OEI28" s="613">
        <f t="shared" ref="OEI28" si="5162">OEG$28*$C$28</f>
        <v>2.9878509283842398E+26</v>
      </c>
      <c r="OEK28" s="613">
        <f t="shared" ref="OEK28" si="5163">OEI$28*$C$28</f>
        <v>3.0177294376680821E+26</v>
      </c>
      <c r="OEM28" s="613">
        <f t="shared" ref="OEM28" si="5164">OEK$28*$C$28</f>
        <v>3.0479067320447628E+26</v>
      </c>
      <c r="OEO28" s="613">
        <f t="shared" ref="OEO28" si="5165">OEM$28*$C$28</f>
        <v>3.0783857993652104E+26</v>
      </c>
      <c r="OEQ28" s="613">
        <f t="shared" ref="OEQ28" si="5166">OEO$28*$C$28</f>
        <v>3.1091696573588626E+26</v>
      </c>
      <c r="OES28" s="613">
        <f t="shared" ref="OES28" si="5167">OEQ$28*$C$28</f>
        <v>3.1402613539324516E+26</v>
      </c>
      <c r="OEU28" s="613">
        <f t="shared" ref="OEU28" si="5168">OES$28*$C$28</f>
        <v>3.1716639674717764E+26</v>
      </c>
      <c r="OEW28" s="613">
        <f t="shared" ref="OEW28" si="5169">OEU$28*$C$28</f>
        <v>3.2033806071464942E+26</v>
      </c>
      <c r="OEY28" s="613">
        <f t="shared" ref="OEY28" si="5170">OEW$28*$C$28</f>
        <v>3.235414413217959E+26</v>
      </c>
      <c r="OFA28" s="613">
        <f t="shared" ref="OFA28" si="5171">OEY$28*$C$28</f>
        <v>3.2677685573501386E+26</v>
      </c>
      <c r="OFC28" s="613">
        <f t="shared" ref="OFC28" si="5172">OFA$28*$C$28</f>
        <v>3.3004462429236401E+26</v>
      </c>
      <c r="OFE28" s="613">
        <f t="shared" ref="OFE28" si="5173">OFC$28*$C$28</f>
        <v>3.3334507053528767E+26</v>
      </c>
      <c r="OFG28" s="613">
        <f t="shared" ref="OFG28" si="5174">OFE$28*$C$28</f>
        <v>3.3667852124064056E+26</v>
      </c>
      <c r="OFI28" s="613">
        <f t="shared" ref="OFI28" si="5175">OFG$28*$C$28</f>
        <v>3.4004530645304696E+26</v>
      </c>
      <c r="OFK28" s="613">
        <f t="shared" ref="OFK28" si="5176">OFI$28*$C$28</f>
        <v>3.4344575951757746E+26</v>
      </c>
      <c r="OFM28" s="613">
        <f t="shared" ref="OFM28" si="5177">OFK$28*$C$28</f>
        <v>3.4688021711275326E+26</v>
      </c>
      <c r="OFO28" s="613">
        <f t="shared" ref="OFO28" si="5178">OFM$28*$C$28</f>
        <v>3.5034901928388081E+26</v>
      </c>
      <c r="OFQ28" s="613">
        <f t="shared" ref="OFQ28" si="5179">OFO$28*$C$28</f>
        <v>3.5385250947671962E+26</v>
      </c>
      <c r="OFS28" s="613">
        <f t="shared" ref="OFS28" si="5180">OFQ$28*$C$28</f>
        <v>3.5739103457148682E+26</v>
      </c>
      <c r="OFU28" s="613">
        <f t="shared" ref="OFU28" si="5181">OFS$28*$C$28</f>
        <v>3.6096494491720168E+26</v>
      </c>
      <c r="OFW28" s="613">
        <f t="shared" ref="OFW28" si="5182">OFU$28*$C$28</f>
        <v>3.6457459436637368E+26</v>
      </c>
      <c r="OFY28" s="613">
        <f t="shared" ref="OFY28" si="5183">OFW$28*$C$28</f>
        <v>3.6822034031003742E+26</v>
      </c>
      <c r="OGA28" s="613">
        <f t="shared" ref="OGA28" si="5184">OFY$28*$C$28</f>
        <v>3.7190254371313782E+26</v>
      </c>
      <c r="OGC28" s="613">
        <f t="shared" ref="OGC28" si="5185">OGA$28*$C$28</f>
        <v>3.7562156915026921E+26</v>
      </c>
      <c r="OGE28" s="613">
        <f t="shared" ref="OGE28" si="5186">OGC$28*$C$28</f>
        <v>3.7937778484177193E+26</v>
      </c>
      <c r="OGG28" s="613">
        <f t="shared" ref="OGG28" si="5187">OGE$28*$C$28</f>
        <v>3.8317156269018968E+26</v>
      </c>
      <c r="OGI28" s="613">
        <f t="shared" ref="OGI28" si="5188">OGG$28*$C$28</f>
        <v>3.8700327831709158E+26</v>
      </c>
      <c r="OGK28" s="613">
        <f t="shared" ref="OGK28" si="5189">OGI$28*$C$28</f>
        <v>3.9087331110026251E+26</v>
      </c>
      <c r="OGM28" s="613">
        <f t="shared" ref="OGM28" si="5190">OGK$28*$C$28</f>
        <v>3.9478204421126514E+26</v>
      </c>
      <c r="OGO28" s="613">
        <f t="shared" ref="OGO28" si="5191">OGM$28*$C$28</f>
        <v>3.9872986465337779E+26</v>
      </c>
      <c r="OGQ28" s="613">
        <f t="shared" ref="OGQ28" si="5192">OGO$28*$C$28</f>
        <v>4.0271716329991154E+26</v>
      </c>
      <c r="OGS28" s="613">
        <f t="shared" ref="OGS28" si="5193">OGQ$28*$C$28</f>
        <v>4.0674433493291067E+26</v>
      </c>
      <c r="OGU28" s="613">
        <f t="shared" ref="OGU28" si="5194">OGS$28*$C$28</f>
        <v>4.108117782822398E+26</v>
      </c>
      <c r="OGW28" s="613">
        <f t="shared" ref="OGW28" si="5195">OGU$28*$C$28</f>
        <v>4.149198960650622E+26</v>
      </c>
      <c r="OGY28" s="613">
        <f t="shared" ref="OGY28" si="5196">OGW$28*$C$28</f>
        <v>4.1906909502571284E+26</v>
      </c>
      <c r="OHA28" s="613">
        <f t="shared" ref="OHA28" si="5197">OGY$28*$C$28</f>
        <v>4.2325978597596998E+26</v>
      </c>
      <c r="OHC28" s="613">
        <f t="shared" ref="OHC28" si="5198">OHA$28*$C$28</f>
        <v>4.2749238383572967E+26</v>
      </c>
      <c r="OHE28" s="613">
        <f t="shared" ref="OHE28" si="5199">OHC$28*$C$28</f>
        <v>4.3176730767408697E+26</v>
      </c>
      <c r="OHG28" s="613">
        <f t="shared" ref="OHG28" si="5200">OHE$28*$C$28</f>
        <v>4.3608498075082783E+26</v>
      </c>
      <c r="OHI28" s="613">
        <f t="shared" ref="OHI28" si="5201">OHG$28*$C$28</f>
        <v>4.4044583055833609E+26</v>
      </c>
      <c r="OHK28" s="613">
        <f t="shared" ref="OHK28" si="5202">OHI$28*$C$28</f>
        <v>4.4485028886391942E+26</v>
      </c>
      <c r="OHM28" s="613">
        <f t="shared" ref="OHM28" si="5203">OHK$28*$C$28</f>
        <v>4.4929879175255864E+26</v>
      </c>
      <c r="OHO28" s="613">
        <f t="shared" ref="OHO28" si="5204">OHM$28*$C$28</f>
        <v>4.5379177967008424E+26</v>
      </c>
      <c r="OHQ28" s="613">
        <f t="shared" ref="OHQ28" si="5205">OHO$28*$C$28</f>
        <v>4.5832969746678509E+26</v>
      </c>
      <c r="OHS28" s="613">
        <f t="shared" ref="OHS28" si="5206">OHQ$28*$C$28</f>
        <v>4.6291299444145295E+26</v>
      </c>
      <c r="OHU28" s="613">
        <f t="shared" ref="OHU28" si="5207">OHS$28*$C$28</f>
        <v>4.6754212438586749E+26</v>
      </c>
      <c r="OHW28" s="613">
        <f t="shared" ref="OHW28" si="5208">OHU$28*$C$28</f>
        <v>4.7221754562972617E+26</v>
      </c>
      <c r="OHY28" s="613">
        <f t="shared" ref="OHY28" si="5209">OHW$28*$C$28</f>
        <v>4.7693972108602341E+26</v>
      </c>
      <c r="OIA28" s="613">
        <f t="shared" ref="OIA28" si="5210">OHY$28*$C$28</f>
        <v>4.8170911829688362E+26</v>
      </c>
      <c r="OIC28" s="613">
        <f t="shared" ref="OIC28" si="5211">OIA$28*$C$28</f>
        <v>4.8652620947985246E+26</v>
      </c>
      <c r="OIE28" s="613">
        <f t="shared" ref="OIE28" si="5212">OIC$28*$C$28</f>
        <v>4.9139147157465101E+26</v>
      </c>
      <c r="OIG28" s="613">
        <f t="shared" ref="OIG28" si="5213">OIE$28*$C$28</f>
        <v>4.9630538629039755E+26</v>
      </c>
      <c r="OII28" s="613">
        <f t="shared" ref="OII28" si="5214">OIG$28*$C$28</f>
        <v>5.012684401533015E+26</v>
      </c>
      <c r="OIK28" s="613">
        <f t="shared" ref="OIK28" si="5215">OII$28*$C$28</f>
        <v>5.062811245548345E+26</v>
      </c>
      <c r="OIM28" s="613">
        <f t="shared" ref="OIM28" si="5216">OIK$28*$C$28</f>
        <v>5.1134393580038285E+26</v>
      </c>
      <c r="OIO28" s="613">
        <f t="shared" ref="OIO28" si="5217">OIM$28*$C$28</f>
        <v>5.1645737515838666E+26</v>
      </c>
      <c r="OIQ28" s="613">
        <f t="shared" ref="OIQ28" si="5218">OIO$28*$C$28</f>
        <v>5.2162194890997052E+26</v>
      </c>
      <c r="OIS28" s="613">
        <f t="shared" ref="OIS28" si="5219">OIQ$28*$C$28</f>
        <v>5.2683816839907023E+26</v>
      </c>
      <c r="OIU28" s="613">
        <f t="shared" ref="OIU28" si="5220">OIS$28*$C$28</f>
        <v>5.3210655008306091E+26</v>
      </c>
      <c r="OIW28" s="613">
        <f t="shared" ref="OIW28" si="5221">OIU$28*$C$28</f>
        <v>5.3742761558389149E+26</v>
      </c>
      <c r="OIY28" s="613">
        <f t="shared" ref="OIY28" si="5222">OIW$28*$C$28</f>
        <v>5.4280189173973039E+26</v>
      </c>
      <c r="OJA28" s="613">
        <f t="shared" ref="OJA28" si="5223">OIY$28*$C$28</f>
        <v>5.4822991065712769E+26</v>
      </c>
      <c r="OJC28" s="613">
        <f t="shared" ref="OJC28" si="5224">OJA$28*$C$28</f>
        <v>5.5371220976369899E+26</v>
      </c>
      <c r="OJE28" s="613">
        <f t="shared" ref="OJE28" si="5225">OJC$28*$C$28</f>
        <v>5.5924933186133596E+26</v>
      </c>
      <c r="OJG28" s="613">
        <f t="shared" ref="OJG28" si="5226">OJE$28*$C$28</f>
        <v>5.6484182517994935E+26</v>
      </c>
      <c r="OJI28" s="613">
        <f t="shared" ref="OJI28" si="5227">OJG$28*$C$28</f>
        <v>5.7049024343174882E+26</v>
      </c>
      <c r="OJK28" s="613">
        <f t="shared" ref="OJK28" si="5228">OJI$28*$C$28</f>
        <v>5.7619514586606632E+26</v>
      </c>
      <c r="OJM28" s="613">
        <f t="shared" ref="OJM28" si="5229">OJK$28*$C$28</f>
        <v>5.8195709732472701E+26</v>
      </c>
      <c r="OJO28" s="613">
        <f t="shared" ref="OJO28" si="5230">OJM$28*$C$28</f>
        <v>5.877766682979743E+26</v>
      </c>
      <c r="OJQ28" s="613">
        <f t="shared" ref="OJQ28" si="5231">OJO$28*$C$28</f>
        <v>5.9365443498095403E+26</v>
      </c>
      <c r="OJS28" s="613">
        <f t="shared" ref="OJS28" si="5232">OJQ$28*$C$28</f>
        <v>5.9959097933076359E+26</v>
      </c>
      <c r="OJU28" s="613">
        <f t="shared" ref="OJU28" si="5233">OJS$28*$C$28</f>
        <v>6.0558688912407121E+26</v>
      </c>
      <c r="OJW28" s="613">
        <f t="shared" ref="OJW28" si="5234">OJU$28*$C$28</f>
        <v>6.1164275801531193E+26</v>
      </c>
      <c r="OJY28" s="613">
        <f t="shared" ref="OJY28" si="5235">OJW$28*$C$28</f>
        <v>6.1775918559546504E+26</v>
      </c>
      <c r="OKA28" s="613">
        <f t="shared" ref="OKA28" si="5236">OJY$28*$C$28</f>
        <v>6.2393677745141972E+26</v>
      </c>
      <c r="OKC28" s="613">
        <f t="shared" ref="OKC28" si="5237">OKA$28*$C$28</f>
        <v>6.3017614522593388E+26</v>
      </c>
      <c r="OKE28" s="613">
        <f t="shared" ref="OKE28" si="5238">OKC$28*$C$28</f>
        <v>6.3647790667819323E+26</v>
      </c>
      <c r="OKG28" s="613">
        <f t="shared" ref="OKG28" si="5239">OKE$28*$C$28</f>
        <v>6.4284268574497512E+26</v>
      </c>
      <c r="OKI28" s="613">
        <f t="shared" ref="OKI28" si="5240">OKG$28*$C$28</f>
        <v>6.4927111260242491E+26</v>
      </c>
      <c r="OKK28" s="613">
        <f t="shared" ref="OKK28" si="5241">OKI$28*$C$28</f>
        <v>6.5576382372844921E+26</v>
      </c>
      <c r="OKM28" s="613">
        <f t="shared" ref="OKM28" si="5242">OKK$28*$C$28</f>
        <v>6.6232146196573378E+26</v>
      </c>
      <c r="OKO28" s="613">
        <f t="shared" ref="OKO28" si="5243">OKM$28*$C$28</f>
        <v>6.6894467658539114E+26</v>
      </c>
      <c r="OKQ28" s="613">
        <f t="shared" ref="OKQ28" si="5244">OKO$28*$C$28</f>
        <v>6.7563412335124513E+26</v>
      </c>
      <c r="OKS28" s="613">
        <f t="shared" ref="OKS28" si="5245">OKQ$28*$C$28</f>
        <v>6.8239046458475753E+26</v>
      </c>
      <c r="OKU28" s="613">
        <f t="shared" ref="OKU28" si="5246">OKS$28*$C$28</f>
        <v>6.8921436923060506E+26</v>
      </c>
      <c r="OKW28" s="613">
        <f t="shared" ref="OKW28" si="5247">OKU$28*$C$28</f>
        <v>6.9610651292291119E+26</v>
      </c>
      <c r="OKY28" s="613">
        <f t="shared" ref="OKY28" si="5248">OKW$28*$C$28</f>
        <v>7.0306757805214026E+26</v>
      </c>
      <c r="OLA28" s="613">
        <f t="shared" ref="OLA28" si="5249">OKY$28*$C$28</f>
        <v>7.100982538326617E+26</v>
      </c>
      <c r="OLC28" s="613">
        <f t="shared" ref="OLC28" si="5250">OLA$28*$C$28</f>
        <v>7.171992363709883E+26</v>
      </c>
      <c r="OLE28" s="613">
        <f t="shared" ref="OLE28" si="5251">OLC$28*$C$28</f>
        <v>7.2437122873469814E+26</v>
      </c>
      <c r="OLG28" s="613">
        <f t="shared" ref="OLG28" si="5252">OLE$28*$C$28</f>
        <v>7.3161494102204508E+26</v>
      </c>
      <c r="OLI28" s="613">
        <f t="shared" ref="OLI28" si="5253">OLG$28*$C$28</f>
        <v>7.3893109043226552E+26</v>
      </c>
      <c r="OLK28" s="613">
        <f t="shared" ref="OLK28" si="5254">OLI$28*$C$28</f>
        <v>7.4632040133658817E+26</v>
      </c>
      <c r="OLM28" s="613">
        <f t="shared" ref="OLM28" si="5255">OLK$28*$C$28</f>
        <v>7.5378360534995409E+26</v>
      </c>
      <c r="OLO28" s="613">
        <f t="shared" ref="OLO28" si="5256">OLM$28*$C$28</f>
        <v>7.6132144140345358E+26</v>
      </c>
      <c r="OLQ28" s="613">
        <f t="shared" ref="OLQ28" si="5257">OLO$28*$C$28</f>
        <v>7.6893465581748817E+26</v>
      </c>
      <c r="OLS28" s="613">
        <f t="shared" ref="OLS28" si="5258">OLQ$28*$C$28</f>
        <v>7.766240023756631E+26</v>
      </c>
      <c r="OLU28" s="613">
        <f t="shared" ref="OLU28" si="5259">OLS$28*$C$28</f>
        <v>7.8439024239941972E+26</v>
      </c>
      <c r="OLW28" s="613">
        <f t="shared" ref="OLW28" si="5260">OLU$28*$C$28</f>
        <v>7.9223414482341386E+26</v>
      </c>
      <c r="OLY28" s="613">
        <f t="shared" ref="OLY28" si="5261">OLW$28*$C$28</f>
        <v>8.0015648627164798E+26</v>
      </c>
      <c r="OMA28" s="613">
        <f t="shared" ref="OMA28" si="5262">OLY$28*$C$28</f>
        <v>8.0815805113436452E+26</v>
      </c>
      <c r="OMC28" s="613">
        <f t="shared" ref="OMC28" si="5263">OMA$28*$C$28</f>
        <v>8.1623963164570814E+26</v>
      </c>
      <c r="OME28" s="613">
        <f t="shared" ref="OME28" si="5264">OMC$28*$C$28</f>
        <v>8.2440202796216527E+26</v>
      </c>
      <c r="OMG28" s="613">
        <f t="shared" ref="OMG28" si="5265">OME$28*$C$28</f>
        <v>8.3264604824178696E+26</v>
      </c>
      <c r="OMI28" s="613">
        <f t="shared" ref="OMI28" si="5266">OMG$28*$C$28</f>
        <v>8.4097250872420487E+26</v>
      </c>
      <c r="OMK28" s="613">
        <f t="shared" ref="OMK28" si="5267">OMI$28*$C$28</f>
        <v>8.493822338114469E+26</v>
      </c>
      <c r="OMM28" s="613">
        <f t="shared" ref="OMM28" si="5268">OMK$28*$C$28</f>
        <v>8.5787605614956133E+26</v>
      </c>
      <c r="OMO28" s="613">
        <f t="shared" ref="OMO28" si="5269">OMM$28*$C$28</f>
        <v>8.6645481671105702E+26</v>
      </c>
      <c r="OMQ28" s="613">
        <f t="shared" ref="OMQ28" si="5270">OMO$28*$C$28</f>
        <v>8.7511936487816756E+26</v>
      </c>
      <c r="OMS28" s="613">
        <f t="shared" ref="OMS28" si="5271">OMQ$28*$C$28</f>
        <v>8.8387055852694928E+26</v>
      </c>
      <c r="OMU28" s="613">
        <f t="shared" ref="OMU28" si="5272">OMS$28*$C$28</f>
        <v>8.9270926411221875E+26</v>
      </c>
      <c r="OMW28" s="613">
        <f t="shared" ref="OMW28" si="5273">OMU$28*$C$28</f>
        <v>9.0163635675334097E+26</v>
      </c>
      <c r="OMY28" s="613">
        <f t="shared" ref="OMY28" si="5274">OMW$28*$C$28</f>
        <v>9.1065272032087441E+26</v>
      </c>
      <c r="ONA28" s="613">
        <f t="shared" ref="ONA28" si="5275">OMY$28*$C$28</f>
        <v>9.1975924752408313E+26</v>
      </c>
      <c r="ONC28" s="613">
        <f t="shared" ref="ONC28" si="5276">ONA$28*$C$28</f>
        <v>9.2895683999932401E+26</v>
      </c>
      <c r="ONE28" s="613">
        <f t="shared" ref="ONE28" si="5277">ONC$28*$C$28</f>
        <v>9.3824640839931731E+26</v>
      </c>
      <c r="ONG28" s="613">
        <f t="shared" ref="ONG28" si="5278">ONE$28*$C$28</f>
        <v>9.4762887248331053E+26</v>
      </c>
      <c r="ONI28" s="613">
        <f t="shared" ref="ONI28" si="5279">ONG$28*$C$28</f>
        <v>9.5710516120814364E+26</v>
      </c>
      <c r="ONK28" s="613">
        <f t="shared" ref="ONK28" si="5280">ONI$28*$C$28</f>
        <v>9.6667621282022514E+26</v>
      </c>
      <c r="ONM28" s="613">
        <f t="shared" ref="ONM28" si="5281">ONK$28*$C$28</f>
        <v>9.7634297494842737E+26</v>
      </c>
      <c r="ONO28" s="613">
        <f t="shared" ref="ONO28" si="5282">ONM$28*$C$28</f>
        <v>9.8610640469791164E+26</v>
      </c>
      <c r="ONQ28" s="613">
        <f t="shared" ref="ONQ28" si="5283">ONO$28*$C$28</f>
        <v>9.9596746874489074E+26</v>
      </c>
      <c r="ONS28" s="613">
        <f t="shared" ref="ONS28" si="5284">ONQ$28*$C$28</f>
        <v>1.0059271434323397E+27</v>
      </c>
      <c r="ONU28" s="613">
        <f t="shared" ref="ONU28" si="5285">ONS$28*$C$28</f>
        <v>1.015986414866663E+27</v>
      </c>
      <c r="ONW28" s="613">
        <f t="shared" ref="ONW28" si="5286">ONU$28*$C$28</f>
        <v>1.0261462790153297E+27</v>
      </c>
      <c r="ONY28" s="613">
        <f t="shared" ref="ONY28" si="5287">ONW$28*$C$28</f>
        <v>1.036407741805483E+27</v>
      </c>
      <c r="OOA28" s="613">
        <f t="shared" ref="OOA28" si="5288">ONY$28*$C$28</f>
        <v>1.0467718192235379E+27</v>
      </c>
      <c r="OOC28" s="613">
        <f t="shared" ref="OOC28" si="5289">OOA$28*$C$28</f>
        <v>1.0572395374157732E+27</v>
      </c>
      <c r="OOE28" s="613">
        <f t="shared" ref="OOE28" si="5290">OOC$28*$C$28</f>
        <v>1.067811932789931E+27</v>
      </c>
      <c r="OOG28" s="613">
        <f t="shared" ref="OOG28" si="5291">OOE$28*$C$28</f>
        <v>1.0784900521178303E+27</v>
      </c>
      <c r="OOI28" s="613">
        <f t="shared" ref="OOI28" si="5292">OOG$28*$C$28</f>
        <v>1.0892749526390086E+27</v>
      </c>
      <c r="OOK28" s="613">
        <f t="shared" ref="OOK28" si="5293">OOI$28*$C$28</f>
        <v>1.1001677021653987E+27</v>
      </c>
      <c r="OOM28" s="613">
        <f t="shared" ref="OOM28" si="5294">OOK$28*$C$28</f>
        <v>1.1111693791870526E+27</v>
      </c>
      <c r="OOO28" s="613">
        <f t="shared" ref="OOO28" si="5295">OOM$28*$C$28</f>
        <v>1.1222810729789232E+27</v>
      </c>
      <c r="OOQ28" s="613">
        <f t="shared" ref="OOQ28" si="5296">OOO$28*$C$28</f>
        <v>1.1335038837087123E+27</v>
      </c>
      <c r="OOS28" s="613">
        <f t="shared" ref="OOS28" si="5297">OOQ$28*$C$28</f>
        <v>1.1448389225457995E+27</v>
      </c>
      <c r="OOU28" s="613">
        <f t="shared" ref="OOU28" si="5298">OOS$28*$C$28</f>
        <v>1.1562873117712575E+27</v>
      </c>
      <c r="OOW28" s="613">
        <f t="shared" ref="OOW28" si="5299">OOU$28*$C$28</f>
        <v>1.1678501848889701E+27</v>
      </c>
      <c r="OOY28" s="613">
        <f t="shared" ref="OOY28" si="5300">OOW$28*$C$28</f>
        <v>1.1795286867378598E+27</v>
      </c>
      <c r="OPA28" s="613">
        <f t="shared" ref="OPA28" si="5301">OOY$28*$C$28</f>
        <v>1.1913239736052384E+27</v>
      </c>
      <c r="OPC28" s="613">
        <f t="shared" ref="OPC28" si="5302">OPA$28*$C$28</f>
        <v>1.2032372133412908E+27</v>
      </c>
      <c r="OPE28" s="613">
        <f t="shared" ref="OPE28" si="5303">OPC$28*$C$28</f>
        <v>1.2152695854747037E+27</v>
      </c>
      <c r="OPG28" s="613">
        <f t="shared" ref="OPG28" si="5304">OPE$28*$C$28</f>
        <v>1.2274222813294507E+27</v>
      </c>
      <c r="OPI28" s="613">
        <f t="shared" ref="OPI28" si="5305">OPG$28*$C$28</f>
        <v>1.2396965041427452E+27</v>
      </c>
      <c r="OPK28" s="613">
        <f t="shared" ref="OPK28" si="5306">OPI$28*$C$28</f>
        <v>1.2520934691841727E+27</v>
      </c>
      <c r="OPM28" s="613">
        <f t="shared" ref="OPM28" si="5307">OPK$28*$C$28</f>
        <v>1.2646144038760145E+27</v>
      </c>
      <c r="OPO28" s="613">
        <f t="shared" ref="OPO28" si="5308">OPM$28*$C$28</f>
        <v>1.2772605479147748E+27</v>
      </c>
      <c r="OPQ28" s="613">
        <f t="shared" ref="OPQ28" si="5309">OPO$28*$C$28</f>
        <v>1.2900331533939225E+27</v>
      </c>
      <c r="OPS28" s="613">
        <f t="shared" ref="OPS28" si="5310">OPQ$28*$C$28</f>
        <v>1.3029334849278618E+27</v>
      </c>
      <c r="OPU28" s="613">
        <f t="shared" ref="OPU28" si="5311">OPS$28*$C$28</f>
        <v>1.3159628197771404E+27</v>
      </c>
      <c r="OPW28" s="613">
        <f t="shared" ref="OPW28" si="5312">OPU$28*$C$28</f>
        <v>1.3291224479749118E+27</v>
      </c>
      <c r="OPY28" s="613">
        <f t="shared" ref="OPY28" si="5313">OPW$28*$C$28</f>
        <v>1.342413672454661E+27</v>
      </c>
      <c r="OQA28" s="613">
        <f t="shared" ref="OQA28" si="5314">OPY$28*$C$28</f>
        <v>1.3558378091792075E+27</v>
      </c>
      <c r="OQC28" s="613">
        <f t="shared" ref="OQC28" si="5315">OQA$28*$C$28</f>
        <v>1.3693961872709996E+27</v>
      </c>
      <c r="OQE28" s="613">
        <f t="shared" ref="OQE28" si="5316">OQC$28*$C$28</f>
        <v>1.3830901491437096E+27</v>
      </c>
      <c r="OQG28" s="613">
        <f t="shared" ref="OQG28" si="5317">OQE$28*$C$28</f>
        <v>1.3969210506351466E+27</v>
      </c>
      <c r="OQI28" s="613">
        <f t="shared" ref="OQI28" si="5318">OQG$28*$C$28</f>
        <v>1.4108902611414982E+27</v>
      </c>
      <c r="OQK28" s="613">
        <f t="shared" ref="OQK28" si="5319">OQI$28*$C$28</f>
        <v>1.4249991637529133E+27</v>
      </c>
      <c r="OQM28" s="613">
        <f t="shared" ref="OQM28" si="5320">OQK$28*$C$28</f>
        <v>1.4392491553904424E+27</v>
      </c>
      <c r="OQO28" s="613">
        <f t="shared" ref="OQO28" si="5321">OQM$28*$C$28</f>
        <v>1.4536416469443469E+27</v>
      </c>
      <c r="OQQ28" s="613">
        <f t="shared" ref="OQQ28" si="5322">OQO$28*$C$28</f>
        <v>1.4681780634137903E+27</v>
      </c>
      <c r="OQS28" s="613">
        <f t="shared" ref="OQS28" si="5323">OQQ$28*$C$28</f>
        <v>1.4828598440479281E+27</v>
      </c>
      <c r="OQU28" s="613">
        <f t="shared" ref="OQU28" si="5324">OQS$28*$C$28</f>
        <v>1.4976884424884074E+27</v>
      </c>
      <c r="OQW28" s="613">
        <f t="shared" ref="OQW28" si="5325">OQU$28*$C$28</f>
        <v>1.5126653269132914E+27</v>
      </c>
      <c r="OQY28" s="613">
        <f t="shared" ref="OQY28" si="5326">OQW$28*$C$28</f>
        <v>1.5277919801824243E+27</v>
      </c>
      <c r="ORA28" s="613">
        <f t="shared" ref="ORA28" si="5327">OQY$28*$C$28</f>
        <v>1.5430698999842485E+27</v>
      </c>
      <c r="ORC28" s="613">
        <f t="shared" ref="ORC28" si="5328">ORA$28*$C$28</f>
        <v>1.5585005989840909E+27</v>
      </c>
      <c r="ORE28" s="613">
        <f t="shared" ref="ORE28" si="5329">ORC$28*$C$28</f>
        <v>1.5740856049739319E+27</v>
      </c>
      <c r="ORG28" s="613">
        <f t="shared" ref="ORG28" si="5330">ORE$28*$C$28</f>
        <v>1.5898264610236712E+27</v>
      </c>
      <c r="ORI28" s="613">
        <f t="shared" ref="ORI28" si="5331">ORG$28*$C$28</f>
        <v>1.6057247256339078E+27</v>
      </c>
      <c r="ORK28" s="613">
        <f t="shared" ref="ORK28" si="5332">ORI$28*$C$28</f>
        <v>1.6217819728902469E+27</v>
      </c>
      <c r="ORM28" s="613">
        <f t="shared" ref="ORM28" si="5333">ORK$28*$C$28</f>
        <v>1.6379997926191493E+27</v>
      </c>
      <c r="ORO28" s="613">
        <f t="shared" ref="ORO28" si="5334">ORM$28*$C$28</f>
        <v>1.6543797905453408E+27</v>
      </c>
      <c r="ORQ28" s="613">
        <f t="shared" ref="ORQ28" si="5335">ORO$28*$C$28</f>
        <v>1.6709235884507943E+27</v>
      </c>
      <c r="ORS28" s="613">
        <f t="shared" ref="ORS28" si="5336">ORQ$28*$C$28</f>
        <v>1.6876328243353022E+27</v>
      </c>
      <c r="ORU28" s="613">
        <f t="shared" ref="ORU28" si="5337">ORS$28*$C$28</f>
        <v>1.7045091525786553E+27</v>
      </c>
      <c r="ORW28" s="613">
        <f t="shared" ref="ORW28" si="5338">ORU$28*$C$28</f>
        <v>1.7215542441044419E+27</v>
      </c>
      <c r="ORY28" s="613">
        <f t="shared" ref="ORY28" si="5339">ORW$28*$C$28</f>
        <v>1.7387697865454864E+27</v>
      </c>
      <c r="OSA28" s="613">
        <f t="shared" ref="OSA28" si="5340">ORY$28*$C$28</f>
        <v>1.7561574844109414E+27</v>
      </c>
      <c r="OSC28" s="613">
        <f t="shared" ref="OSC28" si="5341">OSA$28*$C$28</f>
        <v>1.7737190592550508E+27</v>
      </c>
      <c r="OSE28" s="613">
        <f t="shared" ref="OSE28" si="5342">OSC$28*$C$28</f>
        <v>1.7914562498476012E+27</v>
      </c>
      <c r="OSG28" s="613">
        <f t="shared" ref="OSG28" si="5343">OSE$28*$C$28</f>
        <v>1.8093708123460773E+27</v>
      </c>
      <c r="OSI28" s="613">
        <f t="shared" ref="OSI28" si="5344">OSG$28*$C$28</f>
        <v>1.8274645204695382E+27</v>
      </c>
      <c r="OSK28" s="613">
        <f t="shared" ref="OSK28" si="5345">OSI$28*$C$28</f>
        <v>1.8457391656742336E+27</v>
      </c>
      <c r="OSM28" s="613">
        <f t="shared" ref="OSM28" si="5346">OSK$28*$C$28</f>
        <v>1.864196557330976E+27</v>
      </c>
      <c r="OSO28" s="613">
        <f t="shared" ref="OSO28" si="5347">OSM$28*$C$28</f>
        <v>1.8828385229042857E+27</v>
      </c>
      <c r="OSQ28" s="613">
        <f t="shared" ref="OSQ28" si="5348">OSO$28*$C$28</f>
        <v>1.9016669081333286E+27</v>
      </c>
      <c r="OSS28" s="613">
        <f t="shared" ref="OSS28" si="5349">OSQ$28*$C$28</f>
        <v>1.920683577214662E+27</v>
      </c>
      <c r="OSU28" s="613">
        <f t="shared" ref="OSU28" si="5350">OSS$28*$C$28</f>
        <v>1.9398904129868085E+27</v>
      </c>
      <c r="OSW28" s="613">
        <f t="shared" ref="OSW28" si="5351">OSU$28*$C$28</f>
        <v>1.9592893171166766E+27</v>
      </c>
      <c r="OSY28" s="613">
        <f t="shared" ref="OSY28" si="5352">OSW$28*$C$28</f>
        <v>1.9788822102878435E+27</v>
      </c>
      <c r="OTA28" s="613">
        <f t="shared" ref="OTA28" si="5353">OSY$28*$C$28</f>
        <v>1.9986710323907219E+27</v>
      </c>
      <c r="OTC28" s="613">
        <f t="shared" ref="OTC28" si="5354">OTA$28*$C$28</f>
        <v>2.0186577427146293E+27</v>
      </c>
      <c r="OTE28" s="613">
        <f t="shared" ref="OTE28" si="5355">OTC$28*$C$28</f>
        <v>2.0388443201417755E+27</v>
      </c>
      <c r="OTG28" s="613">
        <f t="shared" ref="OTG28" si="5356">OTE$28*$C$28</f>
        <v>2.0592327633431933E+27</v>
      </c>
      <c r="OTI28" s="613">
        <f t="shared" ref="OTI28" si="5357">OTG$28*$C$28</f>
        <v>2.0798250909766251E+27</v>
      </c>
      <c r="OTK28" s="613">
        <f t="shared" ref="OTK28" si="5358">OTI$28*$C$28</f>
        <v>2.1006233418863915E+27</v>
      </c>
      <c r="OTM28" s="613">
        <f t="shared" ref="OTM28" si="5359">OTK$28*$C$28</f>
        <v>2.1216295753052555E+27</v>
      </c>
      <c r="OTO28" s="613">
        <f t="shared" ref="OTO28" si="5360">OTM$28*$C$28</f>
        <v>2.142845871058308E+27</v>
      </c>
      <c r="OTQ28" s="613">
        <f t="shared" ref="OTQ28" si="5361">OTO$28*$C$28</f>
        <v>2.1642743297688911E+27</v>
      </c>
      <c r="OTS28" s="613">
        <f t="shared" ref="OTS28" si="5362">OTQ$28*$C$28</f>
        <v>2.1859170730665802E+27</v>
      </c>
      <c r="OTU28" s="613">
        <f t="shared" ref="OTU28" si="5363">OTS$28*$C$28</f>
        <v>2.207776243797246E+27</v>
      </c>
      <c r="OTW28" s="613">
        <f t="shared" ref="OTW28" si="5364">OTU$28*$C$28</f>
        <v>2.2298540062352184E+27</v>
      </c>
      <c r="OTY28" s="613">
        <f t="shared" ref="OTY28" si="5365">OTW$28*$C$28</f>
        <v>2.2521525462975707E+27</v>
      </c>
      <c r="OUA28" s="613">
        <f t="shared" ref="OUA28" si="5366">OTY$28*$C$28</f>
        <v>2.2746740717605464E+27</v>
      </c>
      <c r="OUC28" s="613">
        <f t="shared" ref="OUC28" si="5367">OUA$28*$C$28</f>
        <v>2.2974208124781519E+27</v>
      </c>
      <c r="OUE28" s="613">
        <f t="shared" ref="OUE28" si="5368">OUC$28*$C$28</f>
        <v>2.3203950206029333E+27</v>
      </c>
      <c r="OUG28" s="613">
        <f t="shared" ref="OUG28" si="5369">OUE$28*$C$28</f>
        <v>2.3435989708089626E+27</v>
      </c>
      <c r="OUI28" s="613">
        <f t="shared" ref="OUI28" si="5370">OUG$28*$C$28</f>
        <v>2.3670349605170524E+27</v>
      </c>
      <c r="OUK28" s="613">
        <f t="shared" ref="OUK28" si="5371">OUI$28*$C$28</f>
        <v>2.3907053101222229E+27</v>
      </c>
      <c r="OUM28" s="613">
        <f t="shared" ref="OUM28" si="5372">OUK$28*$C$28</f>
        <v>2.4146123632234452E+27</v>
      </c>
      <c r="OUO28" s="613">
        <f t="shared" ref="OUO28" si="5373">OUM$28*$C$28</f>
        <v>2.4387584868556795E+27</v>
      </c>
      <c r="OUQ28" s="613">
        <f t="shared" ref="OUQ28" si="5374">OUO$28*$C$28</f>
        <v>2.4631460717242363E+27</v>
      </c>
      <c r="OUS28" s="613">
        <f t="shared" ref="OUS28" si="5375">OUQ$28*$C$28</f>
        <v>2.4877775324414787E+27</v>
      </c>
      <c r="OUU28" s="613">
        <f t="shared" ref="OUU28" si="5376">OUS$28*$C$28</f>
        <v>2.5126553077658935E+27</v>
      </c>
      <c r="OUW28" s="613">
        <f t="shared" ref="OUW28" si="5377">OUU$28*$C$28</f>
        <v>2.5377818608435523E+27</v>
      </c>
      <c r="OUY28" s="613">
        <f t="shared" ref="OUY28" si="5378">OUW$28*$C$28</f>
        <v>2.5631596794519878E+27</v>
      </c>
      <c r="OVA28" s="613">
        <f t="shared" ref="OVA28" si="5379">OUY$28*$C$28</f>
        <v>2.5887912762465079E+27</v>
      </c>
      <c r="OVC28" s="613">
        <f t="shared" ref="OVC28" si="5380">OVA$28*$C$28</f>
        <v>2.6146791890089733E+27</v>
      </c>
      <c r="OVE28" s="613">
        <f t="shared" ref="OVE28" si="5381">OVC$28*$C$28</f>
        <v>2.640825980899063E+27</v>
      </c>
      <c r="OVG28" s="613">
        <f t="shared" ref="OVG28" si="5382">OVE$28*$C$28</f>
        <v>2.6672342407080537E+27</v>
      </c>
      <c r="OVI28" s="613">
        <f t="shared" ref="OVI28" si="5383">OVG$28*$C$28</f>
        <v>2.6939065831151341E+27</v>
      </c>
      <c r="OVK28" s="613">
        <f t="shared" ref="OVK28" si="5384">OVI$28*$C$28</f>
        <v>2.7208456489462857E+27</v>
      </c>
      <c r="OVM28" s="613">
        <f t="shared" ref="OVM28" si="5385">OVK$28*$C$28</f>
        <v>2.7480541054357483E+27</v>
      </c>
      <c r="OVO28" s="613">
        <f t="shared" ref="OVO28" si="5386">OVM$28*$C$28</f>
        <v>2.7755346464901057E+27</v>
      </c>
      <c r="OVQ28" s="613">
        <f t="shared" ref="OVQ28" si="5387">OVO$28*$C$28</f>
        <v>2.8032899929550068E+27</v>
      </c>
      <c r="OVS28" s="613">
        <f t="shared" ref="OVS28" si="5388">OVQ$28*$C$28</f>
        <v>2.8313228928845569E+27</v>
      </c>
      <c r="OVU28" s="613">
        <f t="shared" ref="OVU28" si="5389">OVS$28*$C$28</f>
        <v>2.8596361218134024E+27</v>
      </c>
      <c r="OVW28" s="613">
        <f t="shared" ref="OVW28" si="5390">OVU$28*$C$28</f>
        <v>2.8882324830315367E+27</v>
      </c>
      <c r="OVY28" s="613">
        <f t="shared" ref="OVY28" si="5391">OVW$28*$C$28</f>
        <v>2.9171148078618521E+27</v>
      </c>
      <c r="OWA28" s="613">
        <f t="shared" ref="OWA28" si="5392">OVY$28*$C$28</f>
        <v>2.9462859559404705E+27</v>
      </c>
      <c r="OWC28" s="613">
        <f t="shared" ref="OWC28" si="5393">OWA$28*$C$28</f>
        <v>2.9757488154998753E+27</v>
      </c>
      <c r="OWE28" s="613">
        <f t="shared" ref="OWE28" si="5394">OWC$28*$C$28</f>
        <v>3.005506303654874E+27</v>
      </c>
      <c r="OWG28" s="613">
        <f t="shared" ref="OWG28" si="5395">OWE$28*$C$28</f>
        <v>3.0355613666914228E+27</v>
      </c>
      <c r="OWI28" s="613">
        <f t="shared" ref="OWI28" si="5396">OWG$28*$C$28</f>
        <v>3.0659169803583371E+27</v>
      </c>
      <c r="OWK28" s="613">
        <f t="shared" ref="OWK28" si="5397">OWI$28*$C$28</f>
        <v>3.0965761501619204E+27</v>
      </c>
      <c r="OWM28" s="613">
        <f t="shared" ref="OWM28" si="5398">OWK$28*$C$28</f>
        <v>3.1275419116635398E+27</v>
      </c>
      <c r="OWO28" s="613">
        <f t="shared" ref="OWO28" si="5399">OWM$28*$C$28</f>
        <v>3.158817330780175E+27</v>
      </c>
      <c r="OWQ28" s="613">
        <f t="shared" ref="OWQ28" si="5400">OWO$28*$C$28</f>
        <v>3.1904055040879771E+27</v>
      </c>
      <c r="OWS28" s="613">
        <f t="shared" ref="OWS28" si="5401">OWQ$28*$C$28</f>
        <v>3.2223095591288568E+27</v>
      </c>
      <c r="OWU28" s="613">
        <f t="shared" ref="OWU28" si="5402">OWS$28*$C$28</f>
        <v>3.2545326547201453E+27</v>
      </c>
      <c r="OWW28" s="613">
        <f t="shared" ref="OWW28" si="5403">OWU$28*$C$28</f>
        <v>3.2870779812673467E+27</v>
      </c>
      <c r="OWY28" s="613">
        <f t="shared" ref="OWY28" si="5404">OWW$28*$C$28</f>
        <v>3.3199487610800201E+27</v>
      </c>
      <c r="OXA28" s="613">
        <f t="shared" ref="OXA28" si="5405">OWY$28*$C$28</f>
        <v>3.3531482486908206E+27</v>
      </c>
      <c r="OXC28" s="613">
        <f t="shared" ref="OXC28" si="5406">OXA$28*$C$28</f>
        <v>3.3866797311777291E+27</v>
      </c>
      <c r="OXE28" s="613">
        <f t="shared" ref="OXE28" si="5407">OXC$28*$C$28</f>
        <v>3.4205465284895063E+27</v>
      </c>
      <c r="OXG28" s="613">
        <f t="shared" ref="OXG28" si="5408">OXE$28*$C$28</f>
        <v>3.4547519937744015E+27</v>
      </c>
      <c r="OXI28" s="613">
        <f t="shared" ref="OXI28" si="5409">OXG$28*$C$28</f>
        <v>3.4892995137121457E+27</v>
      </c>
      <c r="OXK28" s="613">
        <f t="shared" ref="OXK28" si="5410">OXI$28*$C$28</f>
        <v>3.5241925088492672E+27</v>
      </c>
      <c r="OXM28" s="613">
        <f t="shared" ref="OXM28" si="5411">OXK$28*$C$28</f>
        <v>3.5594344339377598E+27</v>
      </c>
      <c r="OXO28" s="613">
        <f t="shared" ref="OXO28" si="5412">OXM$28*$C$28</f>
        <v>3.5950287782771373E+27</v>
      </c>
      <c r="OXQ28" s="613">
        <f t="shared" ref="OXQ28" si="5413">OXO$28*$C$28</f>
        <v>3.6309790660599085E+27</v>
      </c>
      <c r="OXS28" s="613">
        <f t="shared" ref="OXS28" si="5414">OXQ$28*$C$28</f>
        <v>3.6672888567205076E+27</v>
      </c>
      <c r="OXU28" s="613">
        <f t="shared" ref="OXU28" si="5415">OXS$28*$C$28</f>
        <v>3.7039617452877126E+27</v>
      </c>
      <c r="OXW28" s="613">
        <f t="shared" ref="OXW28" si="5416">OXU$28*$C$28</f>
        <v>3.74100136274059E+27</v>
      </c>
      <c r="OXY28" s="613">
        <f t="shared" ref="OXY28" si="5417">OXW$28*$C$28</f>
        <v>3.7784113763679956E+27</v>
      </c>
      <c r="OYA28" s="613">
        <f t="shared" ref="OYA28" si="5418">OXY$28*$C$28</f>
        <v>3.8161954901316756E+27</v>
      </c>
      <c r="OYC28" s="613">
        <f t="shared" ref="OYC28" si="5419">OYA$28*$C$28</f>
        <v>3.8543574450329923E+27</v>
      </c>
      <c r="OYE28" s="613">
        <f t="shared" ref="OYE28" si="5420">OYC$28*$C$28</f>
        <v>3.8929010194833223E+27</v>
      </c>
      <c r="OYG28" s="613">
        <f t="shared" ref="OYG28" si="5421">OYE$28*$C$28</f>
        <v>3.9318300296781554E+27</v>
      </c>
      <c r="OYI28" s="613">
        <f t="shared" ref="OYI28" si="5422">OYG$28*$C$28</f>
        <v>3.9711483299749372E+27</v>
      </c>
      <c r="OYK28" s="613">
        <f t="shared" ref="OYK28" si="5423">OYI$28*$C$28</f>
        <v>4.0108598132746863E+27</v>
      </c>
      <c r="OYM28" s="613">
        <f t="shared" ref="OYM28" si="5424">OYK$28*$C$28</f>
        <v>4.0509684114074334E+27</v>
      </c>
      <c r="OYO28" s="613">
        <f t="shared" ref="OYO28" si="5425">OYM$28*$C$28</f>
        <v>4.0914780955215077E+27</v>
      </c>
      <c r="OYQ28" s="613">
        <f t="shared" ref="OYQ28" si="5426">OYO$28*$C$28</f>
        <v>4.1323928764767227E+27</v>
      </c>
      <c r="OYS28" s="613">
        <f t="shared" ref="OYS28" si="5427">OYQ$28*$C$28</f>
        <v>4.1737168052414897E+27</v>
      </c>
      <c r="OYU28" s="613">
        <f t="shared" ref="OYU28" si="5428">OYS$28*$C$28</f>
        <v>4.2154539732939044E+27</v>
      </c>
      <c r="OYW28" s="613">
        <f t="shared" ref="OYW28" si="5429">OYU$28*$C$28</f>
        <v>4.2576085130268435E+27</v>
      </c>
      <c r="OYY28" s="613">
        <f t="shared" ref="OYY28" si="5430">OYW$28*$C$28</f>
        <v>4.3001845981571122E+27</v>
      </c>
      <c r="OZA28" s="613">
        <f t="shared" ref="OZA28" si="5431">OYY$28*$C$28</f>
        <v>4.3431864441386834E+27</v>
      </c>
      <c r="OZC28" s="613">
        <f t="shared" ref="OZC28" si="5432">OZA$28*$C$28</f>
        <v>4.3866183085800704E+27</v>
      </c>
      <c r="OZE28" s="613">
        <f t="shared" ref="OZE28" si="5433">OZC$28*$C$28</f>
        <v>4.4304844916658711E+27</v>
      </c>
      <c r="OZG28" s="613">
        <f t="shared" ref="OZG28" si="5434">OZE$28*$C$28</f>
        <v>4.47478933658253E+27</v>
      </c>
      <c r="OZI28" s="613">
        <f t="shared" ref="OZI28" si="5435">OZG$28*$C$28</f>
        <v>4.5195372299483552E+27</v>
      </c>
      <c r="OZK28" s="613">
        <f t="shared" ref="OZK28" si="5436">OZI$28*$C$28</f>
        <v>4.564732602247839E+27</v>
      </c>
      <c r="OZM28" s="613">
        <f t="shared" ref="OZM28" si="5437">OZK$28*$C$28</f>
        <v>4.6103799282703173E+27</v>
      </c>
      <c r="OZO28" s="613">
        <f t="shared" ref="OZO28" si="5438">OZM$28*$C$28</f>
        <v>4.6564837275530204E+27</v>
      </c>
      <c r="OZQ28" s="613">
        <f t="shared" ref="OZQ28" si="5439">OZO$28*$C$28</f>
        <v>4.7030485648285508E+27</v>
      </c>
      <c r="OZS28" s="613">
        <f t="shared" ref="OZS28" si="5440">OZQ$28*$C$28</f>
        <v>4.7500790504768364E+27</v>
      </c>
      <c r="OZU28" s="613">
        <f t="shared" ref="OZU28" si="5441">OZS$28*$C$28</f>
        <v>4.7975798409816046E+27</v>
      </c>
      <c r="OZW28" s="613">
        <f t="shared" ref="OZW28" si="5442">OZU$28*$C$28</f>
        <v>4.8455556393914209E+27</v>
      </c>
      <c r="OZY28" s="613">
        <f t="shared" ref="OZY28" si="5443">OZW$28*$C$28</f>
        <v>4.8940111957853354E+27</v>
      </c>
      <c r="PAA28" s="613">
        <f t="shared" ref="PAA28" si="5444">OZY$28*$C$28</f>
        <v>4.9429513077431887E+27</v>
      </c>
      <c r="PAC28" s="613">
        <f t="shared" ref="PAC28" si="5445">PAA$28*$C$28</f>
        <v>4.9923808208206206E+27</v>
      </c>
      <c r="PAE28" s="613">
        <f t="shared" ref="PAE28" si="5446">PAC$28*$C$28</f>
        <v>5.0423046290288264E+27</v>
      </c>
      <c r="PAG28" s="613">
        <f t="shared" ref="PAG28" si="5447">PAE$28*$C$28</f>
        <v>5.0927276753191143E+27</v>
      </c>
      <c r="PAI28" s="613">
        <f t="shared" ref="PAI28" si="5448">PAG$28*$C$28</f>
        <v>5.1436549520723055E+27</v>
      </c>
      <c r="PAK28" s="613">
        <f t="shared" ref="PAK28" si="5449">PAI$28*$C$28</f>
        <v>5.1950915015930292E+27</v>
      </c>
      <c r="PAM28" s="613">
        <f t="shared" ref="PAM28" si="5450">PAK$28*$C$28</f>
        <v>5.2470424166089592E+27</v>
      </c>
      <c r="PAO28" s="613">
        <f t="shared" ref="PAO28" si="5451">PAM$28*$C$28</f>
        <v>5.2995128407750491E+27</v>
      </c>
      <c r="PAQ28" s="613">
        <f t="shared" ref="PAQ28" si="5452">PAO$28*$C$28</f>
        <v>5.3525079691827995E+27</v>
      </c>
      <c r="PAS28" s="613">
        <f t="shared" ref="PAS28" si="5453">PAQ$28*$C$28</f>
        <v>5.4060330488746271E+27</v>
      </c>
      <c r="PAU28" s="613">
        <f t="shared" ref="PAU28" si="5454">PAS$28*$C$28</f>
        <v>5.4600933793633732E+27</v>
      </c>
      <c r="PAW28" s="613">
        <f t="shared" ref="PAW28" si="5455">PAU$28*$C$28</f>
        <v>5.5146943131570066E+27</v>
      </c>
      <c r="PAY28" s="613">
        <f t="shared" ref="PAY28" si="5456">PAW$28*$C$28</f>
        <v>5.5698412562885767E+27</v>
      </c>
      <c r="PBA28" s="613">
        <f t="shared" ref="PBA28" si="5457">PAY$28*$C$28</f>
        <v>5.6255396688514621E+27</v>
      </c>
      <c r="PBC28" s="613">
        <f t="shared" ref="PBC28" si="5458">PBA$28*$C$28</f>
        <v>5.6817950655399763E+27</v>
      </c>
      <c r="PBE28" s="613">
        <f t="shared" ref="PBE28" si="5459">PBC$28*$C$28</f>
        <v>5.7386130161953763E+27</v>
      </c>
      <c r="PBG28" s="613">
        <f t="shared" ref="PBG28" si="5460">PBE$28*$C$28</f>
        <v>5.7959991463573306E+27</v>
      </c>
      <c r="PBI28" s="613">
        <f t="shared" ref="PBI28" si="5461">PBG$28*$C$28</f>
        <v>5.8539591378209038E+27</v>
      </c>
      <c r="PBK28" s="613">
        <f t="shared" ref="PBK28" si="5462">PBI$28*$C$28</f>
        <v>5.9124987291991125E+27</v>
      </c>
      <c r="PBM28" s="613">
        <f t="shared" ref="PBM28" si="5463">PBK$28*$C$28</f>
        <v>5.971623716491104E+27</v>
      </c>
      <c r="PBO28" s="613">
        <f t="shared" ref="PBO28" si="5464">PBM$28*$C$28</f>
        <v>6.0313399536560148E+27</v>
      </c>
      <c r="PBQ28" s="613">
        <f t="shared" ref="PBQ28" si="5465">PBO$28*$C$28</f>
        <v>6.0916533531925747E+27</v>
      </c>
      <c r="PBS28" s="613">
        <f t="shared" ref="PBS28" si="5466">PBQ$28*$C$28</f>
        <v>6.1525698867245E+27</v>
      </c>
      <c r="PBU28" s="613">
        <f t="shared" ref="PBU28" si="5467">PBS$28*$C$28</f>
        <v>6.214095585591745E+27</v>
      </c>
      <c r="PBW28" s="613">
        <f t="shared" ref="PBW28" si="5468">PBU$28*$C$28</f>
        <v>6.2762365414476621E+27</v>
      </c>
      <c r="PBY28" s="613">
        <f t="shared" ref="PBY28" si="5469">PBW$28*$C$28</f>
        <v>6.3389989068621388E+27</v>
      </c>
      <c r="PCA28" s="613">
        <f t="shared" ref="PCA28" si="5470">PBY$28*$C$28</f>
        <v>6.4023888959307602E+27</v>
      </c>
      <c r="PCC28" s="613">
        <f t="shared" ref="PCC28" si="5471">PCA$28*$C$28</f>
        <v>6.4664127848900683E+27</v>
      </c>
      <c r="PCE28" s="613">
        <f t="shared" ref="PCE28" si="5472">PCC$28*$C$28</f>
        <v>6.5310769127389685E+27</v>
      </c>
      <c r="PCG28" s="613">
        <f t="shared" ref="PCG28" si="5473">PCE$28*$C$28</f>
        <v>6.5963876818663583E+27</v>
      </c>
      <c r="PCI28" s="613">
        <f t="shared" ref="PCI28" si="5474">PCG$28*$C$28</f>
        <v>6.6623515586850223E+27</v>
      </c>
      <c r="PCK28" s="613">
        <f t="shared" ref="PCK28" si="5475">PCI$28*$C$28</f>
        <v>6.7289750742718721E+27</v>
      </c>
      <c r="PCM28" s="613">
        <f t="shared" ref="PCM28" si="5476">PCK$28*$C$28</f>
        <v>6.7962648250145913E+27</v>
      </c>
      <c r="PCO28" s="613">
        <f t="shared" ref="PCO28" si="5477">PCM$28*$C$28</f>
        <v>6.8642274732647373E+27</v>
      </c>
      <c r="PCQ28" s="613">
        <f t="shared" ref="PCQ28" si="5478">PCO$28*$C$28</f>
        <v>6.9328697479973852E+27</v>
      </c>
      <c r="PCS28" s="613">
        <f t="shared" ref="PCS28" si="5479">PCQ$28*$C$28</f>
        <v>7.0021984454773586E+27</v>
      </c>
      <c r="PCU28" s="613">
        <f t="shared" ref="PCU28" si="5480">PCS$28*$C$28</f>
        <v>7.0722204299321323E+27</v>
      </c>
      <c r="PCW28" s="613">
        <f t="shared" ref="PCW28" si="5481">PCU$28*$C$28</f>
        <v>7.1429426342314532E+27</v>
      </c>
      <c r="PCY28" s="613">
        <f t="shared" ref="PCY28" si="5482">PCW$28*$C$28</f>
        <v>7.2143720605737681E+27</v>
      </c>
      <c r="PDA28" s="613">
        <f t="shared" ref="PDA28" si="5483">PCY$28*$C$28</f>
        <v>7.286515781179506E+27</v>
      </c>
      <c r="PDC28" s="613">
        <f t="shared" ref="PDC28" si="5484">PDA$28*$C$28</f>
        <v>7.3593809389913011E+27</v>
      </c>
      <c r="PDE28" s="613">
        <f t="shared" ref="PDE28" si="5485">PDC$28*$C$28</f>
        <v>7.4329747483812145E+27</v>
      </c>
      <c r="PDG28" s="613">
        <f t="shared" ref="PDG28" si="5486">PDE$28*$C$28</f>
        <v>7.5073044958650269E+27</v>
      </c>
      <c r="PDI28" s="613">
        <f t="shared" ref="PDI28" si="5487">PDG$28*$C$28</f>
        <v>7.5823775408236769E+27</v>
      </c>
      <c r="PDK28" s="613">
        <f t="shared" ref="PDK28" si="5488">PDI$28*$C$28</f>
        <v>7.6582013162319139E+27</v>
      </c>
      <c r="PDM28" s="613">
        <f t="shared" ref="PDM28" si="5489">PDK$28*$C$28</f>
        <v>7.7347833293942331E+27</v>
      </c>
      <c r="PDO28" s="613">
        <f t="shared" ref="PDO28" si="5490">PDM$28*$C$28</f>
        <v>7.8121311626881752E+27</v>
      </c>
      <c r="PDQ28" s="613">
        <f t="shared" ref="PDQ28" si="5491">PDO$28*$C$28</f>
        <v>7.8902524743150571E+27</v>
      </c>
      <c r="PDS28" s="613">
        <f t="shared" ref="PDS28" si="5492">PDQ$28*$C$28</f>
        <v>7.9691549990582079E+27</v>
      </c>
      <c r="PDU28" s="613">
        <f t="shared" ref="PDU28" si="5493">PDS$28*$C$28</f>
        <v>8.0488465490487901E+27</v>
      </c>
      <c r="PDW28" s="613">
        <f t="shared" ref="PDW28" si="5494">PDU$28*$C$28</f>
        <v>8.1293350145392781E+27</v>
      </c>
      <c r="PDY28" s="613">
        <f t="shared" ref="PDY28" si="5495">PDW$28*$C$28</f>
        <v>8.2106283646846706E+27</v>
      </c>
      <c r="PEA28" s="613">
        <f t="shared" ref="PEA28" si="5496">PDY$28*$C$28</f>
        <v>8.292734648331517E+27</v>
      </c>
      <c r="PEC28" s="613">
        <f t="shared" ref="PEC28" si="5497">PEA$28*$C$28</f>
        <v>8.3756619948148322E+27</v>
      </c>
      <c r="PEE28" s="613">
        <f t="shared" ref="PEE28" si="5498">PEC$28*$C$28</f>
        <v>8.4594186147629809E+27</v>
      </c>
      <c r="PEG28" s="613">
        <f t="shared" ref="PEG28" si="5499">PEE$28*$C$28</f>
        <v>8.5440128009106105E+27</v>
      </c>
      <c r="PEI28" s="613">
        <f t="shared" ref="PEI28" si="5500">PEG$28*$C$28</f>
        <v>8.6294529289197169E+27</v>
      </c>
      <c r="PEK28" s="613">
        <f t="shared" ref="PEK28" si="5501">PEI$28*$C$28</f>
        <v>8.7157474582089145E+27</v>
      </c>
      <c r="PEM28" s="613">
        <f t="shared" ref="PEM28" si="5502">PEK$28*$C$28</f>
        <v>8.8029049327910039E+27</v>
      </c>
      <c r="PEO28" s="613">
        <f t="shared" ref="PEO28" si="5503">PEM$28*$C$28</f>
        <v>8.890933982118914E+27</v>
      </c>
      <c r="PEQ28" s="613">
        <f t="shared" ref="PEQ28" si="5504">PEO$28*$C$28</f>
        <v>8.9798433219401028E+27</v>
      </c>
      <c r="PES28" s="613">
        <f t="shared" ref="PES28" si="5505">PEQ$28*$C$28</f>
        <v>9.0696417551595034E+27</v>
      </c>
      <c r="PEU28" s="613">
        <f t="shared" ref="PEU28" si="5506">PES$28*$C$28</f>
        <v>9.1603381727110986E+27</v>
      </c>
      <c r="PEW28" s="613">
        <f t="shared" ref="PEW28" si="5507">PEU$28*$C$28</f>
        <v>9.2519415544382101E+27</v>
      </c>
      <c r="PEY28" s="613">
        <f t="shared" ref="PEY28" si="5508">PEW$28*$C$28</f>
        <v>9.3444609699825917E+27</v>
      </c>
      <c r="PFA28" s="613">
        <f t="shared" ref="PFA28" si="5509">PEY$28*$C$28</f>
        <v>9.4379055796824178E+27</v>
      </c>
      <c r="PFC28" s="613">
        <f t="shared" ref="PFC28" si="5510">PFA$28*$C$28</f>
        <v>9.5322846354792418E+27</v>
      </c>
      <c r="PFE28" s="613">
        <f t="shared" ref="PFE28" si="5511">PFC$28*$C$28</f>
        <v>9.6276074818340347E+27</v>
      </c>
      <c r="PFG28" s="613">
        <f t="shared" ref="PFG28" si="5512">PFE$28*$C$28</f>
        <v>9.7238835566523755E+27</v>
      </c>
      <c r="PFI28" s="613">
        <f t="shared" ref="PFI28" si="5513">PFG$28*$C$28</f>
        <v>9.8211223922188989E+27</v>
      </c>
      <c r="PFK28" s="613">
        <f t="shared" ref="PFK28" si="5514">PFI$28*$C$28</f>
        <v>9.9193336161410873E+27</v>
      </c>
      <c r="PFM28" s="613">
        <f t="shared" ref="PFM28" si="5515">PFK$28*$C$28</f>
        <v>1.0018526952302498E+28</v>
      </c>
      <c r="PFO28" s="613">
        <f t="shared" ref="PFO28" si="5516">PFM$28*$C$28</f>
        <v>1.0118712221825523E+28</v>
      </c>
      <c r="PFQ28" s="613">
        <f t="shared" ref="PFQ28" si="5517">PFO$28*$C$28</f>
        <v>1.0219899344043777E+28</v>
      </c>
      <c r="PFS28" s="613">
        <f t="shared" ref="PFS28" si="5518">PFQ$28*$C$28</f>
        <v>1.0322098337484214E+28</v>
      </c>
      <c r="PFU28" s="613">
        <f t="shared" ref="PFU28" si="5519">PFS$28*$C$28</f>
        <v>1.0425319320859056E+28</v>
      </c>
      <c r="PFW28" s="613">
        <f t="shared" ref="PFW28" si="5520">PFU$28*$C$28</f>
        <v>1.0529572514067646E+28</v>
      </c>
      <c r="PFY28" s="613">
        <f t="shared" ref="PFY28" si="5521">PFW$28*$C$28</f>
        <v>1.0634868239208323E+28</v>
      </c>
      <c r="PGA28" s="613">
        <f t="shared" ref="PGA28" si="5522">PFY$28*$C$28</f>
        <v>1.0741216921600406E+28</v>
      </c>
      <c r="PGC28" s="613">
        <f t="shared" ref="PGC28" si="5523">PGA$28*$C$28</f>
        <v>1.0848629090816412E+28</v>
      </c>
      <c r="PGE28" s="613">
        <f t="shared" ref="PGE28" si="5524">PGC$28*$C$28</f>
        <v>1.0957115381724576E+28</v>
      </c>
      <c r="PGG28" s="613">
        <f t="shared" ref="PGG28" si="5525">PGE$28*$C$28</f>
        <v>1.1066686535541822E+28</v>
      </c>
      <c r="PGI28" s="613">
        <f t="shared" ref="PGI28" si="5526">PGG$28*$C$28</f>
        <v>1.1177353400897239E+28</v>
      </c>
      <c r="PGK28" s="613">
        <f t="shared" ref="PGK28" si="5527">PGI$28*$C$28</f>
        <v>1.1289126934906211E+28</v>
      </c>
      <c r="PGM28" s="613">
        <f t="shared" ref="PGM28" si="5528">PGK$28*$C$28</f>
        <v>1.1402018204255273E+28</v>
      </c>
      <c r="PGO28" s="613">
        <f t="shared" ref="PGO28" si="5529">PGM$28*$C$28</f>
        <v>1.1516038386297825E+28</v>
      </c>
      <c r="PGQ28" s="613">
        <f t="shared" ref="PGQ28" si="5530">PGO$28*$C$28</f>
        <v>1.1631198770160804E+28</v>
      </c>
      <c r="PGS28" s="613">
        <f t="shared" ref="PGS28" si="5531">PGQ$28*$C$28</f>
        <v>1.1747510757862411E+28</v>
      </c>
      <c r="PGU28" s="613">
        <f t="shared" ref="PGU28" si="5532">PGS$28*$C$28</f>
        <v>1.1864985865441036E+28</v>
      </c>
      <c r="PGW28" s="613">
        <f t="shared" ref="PGW28" si="5533">PGU$28*$C$28</f>
        <v>1.1983635724095448E+28</v>
      </c>
      <c r="PGY28" s="613">
        <f t="shared" ref="PGY28" si="5534">PGW$28*$C$28</f>
        <v>1.2103472081336402E+28</v>
      </c>
      <c r="PHA28" s="613">
        <f t="shared" ref="PHA28" si="5535">PGY$28*$C$28</f>
        <v>1.2224506802149766E+28</v>
      </c>
      <c r="PHC28" s="613">
        <f t="shared" ref="PHC28" si="5536">PHA$28*$C$28</f>
        <v>1.2346751870171264E+28</v>
      </c>
      <c r="PHE28" s="613">
        <f t="shared" ref="PHE28" si="5537">PHC$28*$C$28</f>
        <v>1.2470219388872977E+28</v>
      </c>
      <c r="PHG28" s="613">
        <f t="shared" ref="PHG28" si="5538">PHE$28*$C$28</f>
        <v>1.2594921582761707E+28</v>
      </c>
      <c r="PHI28" s="613">
        <f t="shared" ref="PHI28" si="5539">PHG$28*$C$28</f>
        <v>1.2720870798589323E+28</v>
      </c>
      <c r="PHK28" s="613">
        <f t="shared" ref="PHK28" si="5540">PHI$28*$C$28</f>
        <v>1.2848079506575217E+28</v>
      </c>
      <c r="PHM28" s="613">
        <f t="shared" ref="PHM28" si="5541">PHK$28*$C$28</f>
        <v>1.297656030164097E+28</v>
      </c>
      <c r="PHO28" s="613">
        <f t="shared" ref="PHO28" si="5542">PHM$28*$C$28</f>
        <v>1.310632590465738E+28</v>
      </c>
      <c r="PHQ28" s="613">
        <f t="shared" ref="PHQ28" si="5543">PHO$28*$C$28</f>
        <v>1.3237389163703954E+28</v>
      </c>
      <c r="PHS28" s="613">
        <f t="shared" ref="PHS28" si="5544">PHQ$28*$C$28</f>
        <v>1.3369763055340995E+28</v>
      </c>
      <c r="PHU28" s="613">
        <f t="shared" ref="PHU28" si="5545">PHS$28*$C$28</f>
        <v>1.3503460685894404E+28</v>
      </c>
      <c r="PHW28" s="613">
        <f t="shared" ref="PHW28" si="5546">PHU$28*$C$28</f>
        <v>1.3638495292753348E+28</v>
      </c>
      <c r="PHY28" s="613">
        <f t="shared" ref="PHY28" si="5547">PHW$28*$C$28</f>
        <v>1.3774880245680882E+28</v>
      </c>
      <c r="PIA28" s="613">
        <f t="shared" ref="PIA28" si="5548">PHY$28*$C$28</f>
        <v>1.3912629048137691E+28</v>
      </c>
      <c r="PIC28" s="613">
        <f t="shared" ref="PIC28" si="5549">PIA$28*$C$28</f>
        <v>1.4051755338619069E+28</v>
      </c>
      <c r="PIE28" s="613">
        <f t="shared" ref="PIE28" si="5550">PIC$28*$C$28</f>
        <v>1.419227289200526E+28</v>
      </c>
      <c r="PIG28" s="613">
        <f t="shared" ref="PIG28" si="5551">PIE$28*$C$28</f>
        <v>1.4334195620925314E+28</v>
      </c>
      <c r="PII28" s="613">
        <f t="shared" ref="PII28" si="5552">PIG$28*$C$28</f>
        <v>1.4477537577134566E+28</v>
      </c>
      <c r="PIK28" s="613">
        <f t="shared" ref="PIK28" si="5553">PII$28*$C$28</f>
        <v>1.4622312952905912E+28</v>
      </c>
      <c r="PIM28" s="613">
        <f t="shared" ref="PIM28" si="5554">PIK$28*$C$28</f>
        <v>1.4768536082434971E+28</v>
      </c>
      <c r="PIO28" s="613">
        <f t="shared" ref="PIO28" si="5555">PIM$28*$C$28</f>
        <v>1.4916221443259322E+28</v>
      </c>
      <c r="PIQ28" s="613">
        <f t="shared" ref="PIQ28" si="5556">PIO$28*$C$28</f>
        <v>1.5065383657691916E+28</v>
      </c>
      <c r="PIS28" s="613">
        <f t="shared" ref="PIS28" si="5557">PIQ$28*$C$28</f>
        <v>1.5216037494268835E+28</v>
      </c>
      <c r="PIU28" s="613">
        <f t="shared" ref="PIU28" si="5558">PIS$28*$C$28</f>
        <v>1.5368197869211524E+28</v>
      </c>
      <c r="PIW28" s="613">
        <f t="shared" ref="PIW28" si="5559">PIU$28*$C$28</f>
        <v>1.5521879847903638E+28</v>
      </c>
      <c r="PIY28" s="613">
        <f t="shared" ref="PIY28" si="5560">PIW$28*$C$28</f>
        <v>1.5677098646382675E+28</v>
      </c>
      <c r="PJA28" s="613">
        <f t="shared" ref="PJA28" si="5561">PIY$28*$C$28</f>
        <v>1.5833869632846502E+28</v>
      </c>
      <c r="PJC28" s="613">
        <f t="shared" ref="PJC28" si="5562">PJA$28*$C$28</f>
        <v>1.5992208329174967E+28</v>
      </c>
      <c r="PJE28" s="613">
        <f t="shared" ref="PJE28" si="5563">PJC$28*$C$28</f>
        <v>1.6152130412466718E+28</v>
      </c>
      <c r="PJG28" s="613">
        <f t="shared" ref="PJG28" si="5564">PJE$28*$C$28</f>
        <v>1.6313651716591384E+28</v>
      </c>
      <c r="PJI28" s="613">
        <f t="shared" ref="PJI28" si="5565">PJG$28*$C$28</f>
        <v>1.6476788233757299E+28</v>
      </c>
      <c r="PJK28" s="613">
        <f t="shared" ref="PJK28" si="5566">PJI$28*$C$28</f>
        <v>1.6641556116094873E+28</v>
      </c>
      <c r="PJM28" s="613">
        <f t="shared" ref="PJM28" si="5567">PJK$28*$C$28</f>
        <v>1.6807971677255822E+28</v>
      </c>
      <c r="PJO28" s="613">
        <f t="shared" ref="PJO28" si="5568">PJM$28*$C$28</f>
        <v>1.697605139402838E+28</v>
      </c>
      <c r="PJQ28" s="613">
        <f t="shared" ref="PJQ28" si="5569">PJO$28*$C$28</f>
        <v>1.7145811907968664E+28</v>
      </c>
      <c r="PJS28" s="613">
        <f t="shared" ref="PJS28" si="5570">PJQ$28*$C$28</f>
        <v>1.731727002704835E+28</v>
      </c>
      <c r="PJU28" s="613">
        <f t="shared" ref="PJU28" si="5571">PJS$28*$C$28</f>
        <v>1.7490442727318833E+28</v>
      </c>
      <c r="PJW28" s="613">
        <f t="shared" ref="PJW28" si="5572">PJU$28*$C$28</f>
        <v>1.7665347154592023E+28</v>
      </c>
      <c r="PJY28" s="613">
        <f t="shared" ref="PJY28" si="5573">PJW$28*$C$28</f>
        <v>1.7842000626137944E+28</v>
      </c>
      <c r="PKA28" s="613">
        <f t="shared" ref="PKA28" si="5574">PJY$28*$C$28</f>
        <v>1.8020420632399324E+28</v>
      </c>
      <c r="PKC28" s="613">
        <f t="shared" ref="PKC28" si="5575">PKA$28*$C$28</f>
        <v>1.8200624838723318E+28</v>
      </c>
      <c r="PKE28" s="613">
        <f t="shared" ref="PKE28" si="5576">PKC$28*$C$28</f>
        <v>1.8382631087110551E+28</v>
      </c>
      <c r="PKG28" s="613">
        <f t="shared" ref="PKG28" si="5577">PKE$28*$C$28</f>
        <v>1.8566457397981657E+28</v>
      </c>
      <c r="PKI28" s="613">
        <f t="shared" ref="PKI28" si="5578">PKG$28*$C$28</f>
        <v>1.8752121971961474E+28</v>
      </c>
      <c r="PKK28" s="613">
        <f t="shared" ref="PKK28" si="5579">PKI$28*$C$28</f>
        <v>1.8939643191681088E+28</v>
      </c>
      <c r="PKM28" s="613">
        <f t="shared" ref="PKM28" si="5580">PKK$28*$C$28</f>
        <v>1.9129039623597898E+28</v>
      </c>
      <c r="PKO28" s="613">
        <f t="shared" ref="PKO28" si="5581">PKM$28*$C$28</f>
        <v>1.9320330019833878E+28</v>
      </c>
      <c r="PKQ28" s="613">
        <f t="shared" ref="PKQ28" si="5582">PKO$28*$C$28</f>
        <v>1.9513533320032218E+28</v>
      </c>
      <c r="PKS28" s="613">
        <f t="shared" ref="PKS28" si="5583">PKQ$28*$C$28</f>
        <v>1.970866865323254E+28</v>
      </c>
      <c r="PKU28" s="613">
        <f t="shared" ref="PKU28" si="5584">PKS$28*$C$28</f>
        <v>1.9905755339764865E+28</v>
      </c>
      <c r="PKW28" s="613">
        <f t="shared" ref="PKW28" si="5585">PKU$28*$C$28</f>
        <v>2.0104812893162515E+28</v>
      </c>
      <c r="PKY28" s="613">
        <f t="shared" ref="PKY28" si="5586">PKW$28*$C$28</f>
        <v>2.0305861022094138E+28</v>
      </c>
      <c r="PLA28" s="613">
        <f t="shared" ref="PLA28" si="5587">PKY$28*$C$28</f>
        <v>2.0508919632315079E+28</v>
      </c>
      <c r="PLC28" s="613">
        <f t="shared" ref="PLC28" si="5588">PLA$28*$C$28</f>
        <v>2.0714008828638228E+28</v>
      </c>
      <c r="PLE28" s="613">
        <f t="shared" ref="PLE28" si="5589">PLC$28*$C$28</f>
        <v>2.0921148916924609E+28</v>
      </c>
      <c r="PLG28" s="613">
        <f t="shared" ref="PLG28" si="5590">PLE$28*$C$28</f>
        <v>2.1130360406093853E+28</v>
      </c>
      <c r="PLI28" s="613">
        <f t="shared" ref="PLI28" si="5591">PLG$28*$C$28</f>
        <v>2.1341664010154792E+28</v>
      </c>
      <c r="PLK28" s="613">
        <f t="shared" ref="PLK28" si="5592">PLI$28*$C$28</f>
        <v>2.1555080650256338E+28</v>
      </c>
      <c r="PLM28" s="613">
        <f t="shared" ref="PLM28" si="5593">PLK$28*$C$28</f>
        <v>2.1770631456758902E+28</v>
      </c>
      <c r="PLO28" s="613">
        <f t="shared" ref="PLO28" si="5594">PLM$28*$C$28</f>
        <v>2.198833777132649E+28</v>
      </c>
      <c r="PLQ28" s="613">
        <f t="shared" ref="PLQ28" si="5595">PLO$28*$C$28</f>
        <v>2.2208221149039758E+28</v>
      </c>
      <c r="PLS28" s="613">
        <f t="shared" ref="PLS28" si="5596">PLQ$28*$C$28</f>
        <v>2.2430303360530156E+28</v>
      </c>
      <c r="PLU28" s="613">
        <f t="shared" ref="PLU28" si="5597">PLS$28*$C$28</f>
        <v>2.2654606394135456E+28</v>
      </c>
      <c r="PLW28" s="613">
        <f t="shared" ref="PLW28" si="5598">PLU$28*$C$28</f>
        <v>2.288115245807681E+28</v>
      </c>
      <c r="PLY28" s="613">
        <f t="shared" ref="PLY28" si="5599">PLW$28*$C$28</f>
        <v>2.3109963982657579E+28</v>
      </c>
      <c r="PMA28" s="613">
        <f t="shared" ref="PMA28" si="5600">PLY$28*$C$28</f>
        <v>2.3341063622484157E+28</v>
      </c>
      <c r="PMC28" s="613">
        <f t="shared" ref="PMC28" si="5601">PMA$28*$C$28</f>
        <v>2.3574474258708996E+28</v>
      </c>
      <c r="PME28" s="613">
        <f t="shared" ref="PME28" si="5602">PMC$28*$C$28</f>
        <v>2.3810219001296085E+28</v>
      </c>
      <c r="PMG28" s="613">
        <f t="shared" ref="PMG28" si="5603">PME$28*$C$28</f>
        <v>2.4048321191309047E+28</v>
      </c>
      <c r="PMI28" s="613">
        <f t="shared" ref="PMI28" si="5604">PMG$28*$C$28</f>
        <v>2.4288804403222137E+28</v>
      </c>
      <c r="PMK28" s="613">
        <f t="shared" ref="PMK28" si="5605">PMI$28*$C$28</f>
        <v>2.453169244725436E+28</v>
      </c>
      <c r="PMM28" s="613">
        <f t="shared" ref="PMM28" si="5606">PMK$28*$C$28</f>
        <v>2.4777009371726903E+28</v>
      </c>
      <c r="PMO28" s="613">
        <f t="shared" ref="PMO28" si="5607">PMM$28*$C$28</f>
        <v>2.5024779465444174E+28</v>
      </c>
      <c r="PMQ28" s="613">
        <f t="shared" ref="PMQ28" si="5608">PMO$28*$C$28</f>
        <v>2.5275027260098618E+28</v>
      </c>
      <c r="PMS28" s="613">
        <f t="shared" ref="PMS28" si="5609">PMQ$28*$C$28</f>
        <v>2.5527777532699604E+28</v>
      </c>
      <c r="PMU28" s="613">
        <f t="shared" ref="PMU28" si="5610">PMS$28*$C$28</f>
        <v>2.5783055308026601E+28</v>
      </c>
      <c r="PMW28" s="613">
        <f t="shared" ref="PMW28" si="5611">PMU$28*$C$28</f>
        <v>2.6040885861106865E+28</v>
      </c>
      <c r="PMY28" s="613">
        <f t="shared" ref="PMY28" si="5612">PMW$28*$C$28</f>
        <v>2.6301294719717936E+28</v>
      </c>
      <c r="PNA28" s="613">
        <f t="shared" ref="PNA28" si="5613">PMY$28*$C$28</f>
        <v>2.6564307666915113E+28</v>
      </c>
      <c r="PNC28" s="613">
        <f t="shared" ref="PNC28" si="5614">PNA$28*$C$28</f>
        <v>2.6829950743584264E+28</v>
      </c>
      <c r="PNE28" s="613">
        <f t="shared" ref="PNE28" si="5615">PNC$28*$C$28</f>
        <v>2.7098250251020105E+28</v>
      </c>
      <c r="PNG28" s="613">
        <f t="shared" ref="PNG28" si="5616">PNE$28*$C$28</f>
        <v>2.7369232753530305E+28</v>
      </c>
      <c r="PNI28" s="613">
        <f t="shared" ref="PNI28" si="5617">PNG$28*$C$28</f>
        <v>2.7642925081065609E+28</v>
      </c>
      <c r="PNK28" s="613">
        <f t="shared" ref="PNK28" si="5618">PNI$28*$C$28</f>
        <v>2.7919354331876265E+28</v>
      </c>
      <c r="PNM28" s="613">
        <f t="shared" ref="PNM28" si="5619">PNK$28*$C$28</f>
        <v>2.8198547875195027E+28</v>
      </c>
      <c r="PNO28" s="613">
        <f t="shared" ref="PNO28" si="5620">PNM$28*$C$28</f>
        <v>2.8480533353946975E+28</v>
      </c>
      <c r="PNQ28" s="613">
        <f t="shared" ref="PNQ28" si="5621">PNO$28*$C$28</f>
        <v>2.8765338687486446E+28</v>
      </c>
      <c r="PNS28" s="613">
        <f t="shared" ref="PNS28" si="5622">PNQ$28*$C$28</f>
        <v>2.9052992074361311E+28</v>
      </c>
      <c r="PNU28" s="613">
        <f t="shared" ref="PNU28" si="5623">PNS$28*$C$28</f>
        <v>2.9343521995104923E+28</v>
      </c>
      <c r="PNW28" s="613">
        <f t="shared" ref="PNW28" si="5624">PNU$28*$C$28</f>
        <v>2.9636957215055971E+28</v>
      </c>
      <c r="PNY28" s="613">
        <f t="shared" ref="PNY28" si="5625">PNW$28*$C$28</f>
        <v>2.9933326787206531E+28</v>
      </c>
      <c r="POA28" s="613">
        <f t="shared" ref="POA28" si="5626">PNY$28*$C$28</f>
        <v>3.0232660055078596E+28</v>
      </c>
      <c r="POC28" s="613">
        <f t="shared" ref="POC28" si="5627">POA$28*$C$28</f>
        <v>3.0534986655629382E+28</v>
      </c>
      <c r="POE28" s="613">
        <f t="shared" ref="POE28" si="5628">POC$28*$C$28</f>
        <v>3.0840336522185676E+28</v>
      </c>
      <c r="POG28" s="613">
        <f t="shared" ref="POG28" si="5629">POE$28*$C$28</f>
        <v>3.1148739887407532E+28</v>
      </c>
      <c r="POI28" s="613">
        <f t="shared" ref="POI28" si="5630">POG$28*$C$28</f>
        <v>3.146022728628161E+28</v>
      </c>
      <c r="POK28" s="613">
        <f t="shared" ref="POK28" si="5631">POI$28*$C$28</f>
        <v>3.1774829559144425E+28</v>
      </c>
      <c r="POM28" s="613">
        <f t="shared" ref="POM28" si="5632">POK$28*$C$28</f>
        <v>3.2092577854735869E+28</v>
      </c>
      <c r="POO28" s="613">
        <f t="shared" ref="POO28" si="5633">POM$28*$C$28</f>
        <v>3.2413503633283229E+28</v>
      </c>
      <c r="POQ28" s="613">
        <f t="shared" ref="POQ28" si="5634">POO$28*$C$28</f>
        <v>3.2737638669616063E+28</v>
      </c>
      <c r="POS28" s="613">
        <f t="shared" ref="POS28" si="5635">POQ$28*$C$28</f>
        <v>3.3065015056312224E+28</v>
      </c>
      <c r="POU28" s="613">
        <f t="shared" ref="POU28" si="5636">POS$28*$C$28</f>
        <v>3.3395665206875345E+28</v>
      </c>
      <c r="POW28" s="613">
        <f t="shared" ref="POW28" si="5637">POU$28*$C$28</f>
        <v>3.3729621858944098E+28</v>
      </c>
      <c r="POY28" s="613">
        <f t="shared" ref="POY28" si="5638">POW$28*$C$28</f>
        <v>3.4066918077533539E+28</v>
      </c>
      <c r="PPA28" s="613">
        <f t="shared" ref="PPA28" si="5639">POY$28*$C$28</f>
        <v>3.4407587258308875E+28</v>
      </c>
      <c r="PPC28" s="613">
        <f t="shared" ref="PPC28" si="5640">PPA$28*$C$28</f>
        <v>3.4751663130891964E+28</v>
      </c>
      <c r="PPE28" s="613">
        <f t="shared" ref="PPE28" si="5641">PPC$28*$C$28</f>
        <v>3.5099179762200885E+28</v>
      </c>
      <c r="PPG28" s="613">
        <f t="shared" ref="PPG28" si="5642">PPE$28*$C$28</f>
        <v>3.5450171559822893E+28</v>
      </c>
      <c r="PPI28" s="613">
        <f t="shared" ref="PPI28" si="5643">PPG$28*$C$28</f>
        <v>3.5804673275421123E+28</v>
      </c>
      <c r="PPK28" s="613">
        <f t="shared" ref="PPK28" si="5644">PPI$28*$C$28</f>
        <v>3.6162720008175336E+28</v>
      </c>
      <c r="PPM28" s="613">
        <f t="shared" ref="PPM28" si="5645">PPK$28*$C$28</f>
        <v>3.6524347208257088E+28</v>
      </c>
      <c r="PPO28" s="613">
        <f t="shared" ref="PPO28" si="5646">PPM$28*$C$28</f>
        <v>3.688959068033966E+28</v>
      </c>
      <c r="PPQ28" s="613">
        <f t="shared" ref="PPQ28" si="5647">PPO$28*$C$28</f>
        <v>3.7258486587143055E+28</v>
      </c>
      <c r="PPS28" s="613">
        <f t="shared" ref="PPS28" si="5648">PPQ$28*$C$28</f>
        <v>3.7631071453014487E+28</v>
      </c>
      <c r="PPU28" s="613">
        <f t="shared" ref="PPU28" si="5649">PPS$28*$C$28</f>
        <v>3.8007382167544632E+28</v>
      </c>
      <c r="PPW28" s="613">
        <f t="shared" ref="PPW28" si="5650">PPU$28*$C$28</f>
        <v>3.8387455989220079E+28</v>
      </c>
      <c r="PPY28" s="613">
        <f t="shared" ref="PPY28" si="5651">PPW$28*$C$28</f>
        <v>3.8771330549112281E+28</v>
      </c>
      <c r="PQA28" s="613">
        <f t="shared" ref="PQA28" si="5652">PPY$28*$C$28</f>
        <v>3.9159043854603403E+28</v>
      </c>
      <c r="PQC28" s="613">
        <f t="shared" ref="PQC28" si="5653">PQA$28*$C$28</f>
        <v>3.9550634293149437E+28</v>
      </c>
      <c r="PQE28" s="613">
        <f t="shared" ref="PQE28" si="5654">PQC$28*$C$28</f>
        <v>3.9946140636080935E+28</v>
      </c>
      <c r="PQG28" s="613">
        <f t="shared" ref="PQG28" si="5655">PQE$28*$C$28</f>
        <v>4.0345602042441746E+28</v>
      </c>
      <c r="PQI28" s="613">
        <f t="shared" ref="PQI28" si="5656">PQG$28*$C$28</f>
        <v>4.0749058062866165E+28</v>
      </c>
      <c r="PQK28" s="613">
        <f t="shared" ref="PQK28" si="5657">PQI$28*$C$28</f>
        <v>4.1156548643494829E+28</v>
      </c>
      <c r="PQM28" s="613">
        <f t="shared" ref="PQM28" si="5658">PQK$28*$C$28</f>
        <v>4.1568114129929778E+28</v>
      </c>
      <c r="PQO28" s="613">
        <f t="shared" ref="PQO28" si="5659">PQM$28*$C$28</f>
        <v>4.1983795271229072E+28</v>
      </c>
      <c r="PQQ28" s="613">
        <f t="shared" ref="PQQ28" si="5660">PQO$28*$C$28</f>
        <v>4.2403633223941366E+28</v>
      </c>
      <c r="PQS28" s="613">
        <f t="shared" ref="PQS28" si="5661">PQQ$28*$C$28</f>
        <v>4.2827669556180784E+28</v>
      </c>
      <c r="PQU28" s="613">
        <f t="shared" ref="PQU28" si="5662">PQS$28*$C$28</f>
        <v>4.325594625174259E+28</v>
      </c>
      <c r="PQW28" s="613">
        <f t="shared" ref="PQW28" si="5663">PQU$28*$C$28</f>
        <v>4.3688505714260016E+28</v>
      </c>
      <c r="PQY28" s="613">
        <f t="shared" ref="PQY28" si="5664">PQW$28*$C$28</f>
        <v>4.4125390771402618E+28</v>
      </c>
      <c r="PRA28" s="613">
        <f t="shared" ref="PRA28" si="5665">PQY$28*$C$28</f>
        <v>4.456664467911664E+28</v>
      </c>
      <c r="PRC28" s="613">
        <f t="shared" ref="PRC28" si="5666">PRA$28*$C$28</f>
        <v>4.5012311125907811E+28</v>
      </c>
      <c r="PRE28" s="613">
        <f t="shared" ref="PRE28" si="5667">PRC$28*$C$28</f>
        <v>4.5462434237166891E+28</v>
      </c>
      <c r="PRG28" s="613">
        <f t="shared" ref="PRG28" si="5668">PRE$28*$C$28</f>
        <v>4.5917058579538557E+28</v>
      </c>
      <c r="PRI28" s="613">
        <f t="shared" ref="PRI28" si="5669">PRG$28*$C$28</f>
        <v>4.637622916533394E+28</v>
      </c>
      <c r="PRK28" s="613">
        <f t="shared" ref="PRK28" si="5670">PRI$28*$C$28</f>
        <v>4.6839991456987279E+28</v>
      </c>
      <c r="PRM28" s="613">
        <f t="shared" ref="PRM28" si="5671">PRK$28*$C$28</f>
        <v>4.7308391371557153E+28</v>
      </c>
      <c r="PRO28" s="613">
        <f t="shared" ref="PRO28" si="5672">PRM$28*$C$28</f>
        <v>4.7781475285272723E+28</v>
      </c>
      <c r="PRQ28" s="613">
        <f t="shared" ref="PRQ28" si="5673">PRO$28*$C$28</f>
        <v>4.8259290038125449E+28</v>
      </c>
      <c r="PRS28" s="613">
        <f t="shared" ref="PRS28" si="5674">PRQ$28*$C$28</f>
        <v>4.8741882938506706E+28</v>
      </c>
      <c r="PRU28" s="613">
        <f t="shared" ref="PRU28" si="5675">PRS$28*$C$28</f>
        <v>4.9229301767891772E+28</v>
      </c>
      <c r="PRW28" s="613">
        <f t="shared" ref="PRW28" si="5676">PRU$28*$C$28</f>
        <v>4.9721594785570692E+28</v>
      </c>
      <c r="PRY28" s="613">
        <f t="shared" ref="PRY28" si="5677">PRW$28*$C$28</f>
        <v>5.0218810733426396E+28</v>
      </c>
      <c r="PSA28" s="613">
        <f t="shared" ref="PSA28" si="5678">PRY$28*$C$28</f>
        <v>5.0720998840760661E+28</v>
      </c>
      <c r="PSC28" s="613">
        <f t="shared" ref="PSC28" si="5679">PSA$28*$C$28</f>
        <v>5.1228208829168265E+28</v>
      </c>
      <c r="PSE28" s="613">
        <f t="shared" ref="PSE28" si="5680">PSC$28*$C$28</f>
        <v>5.1740490917459946E+28</v>
      </c>
      <c r="PSG28" s="613">
        <f t="shared" ref="PSG28" si="5681">PSE$28*$C$28</f>
        <v>5.2257895826634544E+28</v>
      </c>
      <c r="PSI28" s="613">
        <f t="shared" ref="PSI28" si="5682">PSG$28*$C$28</f>
        <v>5.2780474784900888E+28</v>
      </c>
      <c r="PSK28" s="613">
        <f t="shared" ref="PSK28" si="5683">PSI$28*$C$28</f>
        <v>5.3308279532749899E+28</v>
      </c>
      <c r="PSM28" s="613">
        <f t="shared" ref="PSM28" si="5684">PSK$28*$C$28</f>
        <v>5.38413623280774E+28</v>
      </c>
      <c r="PSO28" s="613">
        <f t="shared" ref="PSO28" si="5685">PSM$28*$C$28</f>
        <v>5.4379775951358177E+28</v>
      </c>
      <c r="PSQ28" s="613">
        <f t="shared" ref="PSQ28" si="5686">PSO$28*$C$28</f>
        <v>5.4923573710871759E+28</v>
      </c>
      <c r="PSS28" s="613">
        <f t="shared" ref="PSS28" si="5687">PSQ$28*$C$28</f>
        <v>5.5472809447980477E+28</v>
      </c>
      <c r="PSU28" s="613">
        <f t="shared" ref="PSU28" si="5688">PSS$28*$C$28</f>
        <v>5.6027537542460283E+28</v>
      </c>
      <c r="PSW28" s="613">
        <f t="shared" ref="PSW28" si="5689">PSU$28*$C$28</f>
        <v>5.6587812917884883E+28</v>
      </c>
      <c r="PSY28" s="613">
        <f t="shared" ref="PSY28" si="5690">PSW$28*$C$28</f>
        <v>5.7153691047063737E+28</v>
      </c>
      <c r="PTA28" s="613">
        <f t="shared" ref="PTA28" si="5691">PSY$28*$C$28</f>
        <v>5.7725227957534373E+28</v>
      </c>
      <c r="PTC28" s="613">
        <f t="shared" ref="PTC28" si="5692">PTA$28*$C$28</f>
        <v>5.8302480237109716E+28</v>
      </c>
      <c r="PTE28" s="613">
        <f t="shared" ref="PTE28" si="5693">PTC$28*$C$28</f>
        <v>5.8885505039480812E+28</v>
      </c>
      <c r="PTG28" s="613">
        <f t="shared" ref="PTG28" si="5694">PTE$28*$C$28</f>
        <v>5.9474360089875624E+28</v>
      </c>
      <c r="PTI28" s="613">
        <f t="shared" ref="PTI28" si="5695">PTG$28*$C$28</f>
        <v>6.0069103690774385E+28</v>
      </c>
      <c r="PTK28" s="613">
        <f t="shared" ref="PTK28" si="5696">PTI$28*$C$28</f>
        <v>6.0669794727682129E+28</v>
      </c>
      <c r="PTM28" s="613">
        <f t="shared" ref="PTM28" si="5697">PTK$28*$C$28</f>
        <v>6.1276492674958954E+28</v>
      </c>
      <c r="PTO28" s="613">
        <f t="shared" ref="PTO28" si="5698">PTM$28*$C$28</f>
        <v>6.1889257601708548E+28</v>
      </c>
      <c r="PTQ28" s="613">
        <f t="shared" ref="PTQ28" si="5699">PTO$28*$C$28</f>
        <v>6.2508150177725631E+28</v>
      </c>
      <c r="PTS28" s="613">
        <f t="shared" ref="PTS28" si="5700">PTQ$28*$C$28</f>
        <v>6.3133231679502887E+28</v>
      </c>
      <c r="PTU28" s="613">
        <f t="shared" ref="PTU28" si="5701">PTS$28*$C$28</f>
        <v>6.3764563996297913E+28</v>
      </c>
      <c r="PTW28" s="613">
        <f t="shared" ref="PTW28" si="5702">PTU$28*$C$28</f>
        <v>6.4402209636260891E+28</v>
      </c>
      <c r="PTY28" s="613">
        <f t="shared" ref="PTY28" si="5703">PTW$28*$C$28</f>
        <v>6.5046231732623501E+28</v>
      </c>
      <c r="PUA28" s="613">
        <f t="shared" ref="PUA28" si="5704">PTY$28*$C$28</f>
        <v>6.5696694049949736E+28</v>
      </c>
      <c r="PUC28" s="613">
        <f t="shared" ref="PUC28" si="5705">PUA$28*$C$28</f>
        <v>6.6353660990449234E+28</v>
      </c>
      <c r="PUE28" s="613">
        <f t="shared" ref="PUE28" si="5706">PUC$28*$C$28</f>
        <v>6.7017197600353724E+28</v>
      </c>
      <c r="PUG28" s="613">
        <f t="shared" ref="PUG28" si="5707">PUE$28*$C$28</f>
        <v>6.7687369576357262E+28</v>
      </c>
      <c r="PUI28" s="613">
        <f t="shared" ref="PUI28" si="5708">PUG$28*$C$28</f>
        <v>6.8364243272120837E+28</v>
      </c>
      <c r="PUK28" s="613">
        <f t="shared" ref="PUK28" si="5709">PUI$28*$C$28</f>
        <v>6.9047885704842047E+28</v>
      </c>
      <c r="PUM28" s="613">
        <f t="shared" ref="PUM28" si="5710">PUK$28*$C$28</f>
        <v>6.973836456189047E+28</v>
      </c>
      <c r="PUO28" s="613">
        <f t="shared" ref="PUO28" si="5711">PUM$28*$C$28</f>
        <v>7.0435748207509371E+28</v>
      </c>
      <c r="PUQ28" s="613">
        <f t="shared" ref="PUQ28" si="5712">PUO$28*$C$28</f>
        <v>7.1140105689584462E+28</v>
      </c>
      <c r="PUS28" s="613">
        <f t="shared" ref="PUS28" si="5713">PUQ$28*$C$28</f>
        <v>7.1851506746480307E+28</v>
      </c>
      <c r="PUU28" s="613">
        <f t="shared" ref="PUU28" si="5714">PUS$28*$C$28</f>
        <v>7.2570021813945109E+28</v>
      </c>
      <c r="PUW28" s="613">
        <f t="shared" ref="PUW28" si="5715">PUU$28*$C$28</f>
        <v>7.3295722032084559E+28</v>
      </c>
      <c r="PUY28" s="613">
        <f t="shared" ref="PUY28" si="5716">PUW$28*$C$28</f>
        <v>7.4028679252405407E+28</v>
      </c>
      <c r="PVA28" s="613">
        <f t="shared" ref="PVA28" si="5717">PUY$28*$C$28</f>
        <v>7.4768966044929463E+28</v>
      </c>
      <c r="PVC28" s="613">
        <f t="shared" ref="PVC28" si="5718">PVA$28*$C$28</f>
        <v>7.5516655705378757E+28</v>
      </c>
      <c r="PVE28" s="613">
        <f t="shared" ref="PVE28" si="5719">PVC$28*$C$28</f>
        <v>7.6271822262432549E+28</v>
      </c>
      <c r="PVG28" s="613">
        <f t="shared" ref="PVG28" si="5720">PVE$28*$C$28</f>
        <v>7.7034540485056874E+28</v>
      </c>
      <c r="PVI28" s="613">
        <f t="shared" ref="PVI28" si="5721">PVG$28*$C$28</f>
        <v>7.7804885889907441E+28</v>
      </c>
      <c r="PVK28" s="613">
        <f t="shared" ref="PVK28" si="5722">PVI$28*$C$28</f>
        <v>7.8582934748806519E+28</v>
      </c>
      <c r="PVM28" s="613">
        <f t="shared" ref="PVM28" si="5723">PVK$28*$C$28</f>
        <v>7.9368764096294592E+28</v>
      </c>
      <c r="PVO28" s="613">
        <f t="shared" ref="PVO28" si="5724">PVM$28*$C$28</f>
        <v>8.0162451737257532E+28</v>
      </c>
      <c r="PVQ28" s="613">
        <f t="shared" ref="PVQ28" si="5725">PVO$28*$C$28</f>
        <v>8.0964076254630101E+28</v>
      </c>
      <c r="PVS28" s="613">
        <f t="shared" ref="PVS28" si="5726">PVQ$28*$C$28</f>
        <v>8.1773717017176395E+28</v>
      </c>
      <c r="PVU28" s="613">
        <f t="shared" ref="PVU28" si="5727">PVS$28*$C$28</f>
        <v>8.2591454187348151E+28</v>
      </c>
      <c r="PVW28" s="613">
        <f t="shared" ref="PVW28" si="5728">PVU$28*$C$28</f>
        <v>8.3417368729221639E+28</v>
      </c>
      <c r="PVY28" s="613">
        <f t="shared" ref="PVY28" si="5729">PVW$28*$C$28</f>
        <v>8.4251542416513853E+28</v>
      </c>
      <c r="PWA28" s="613">
        <f t="shared" ref="PWA28" si="5730">PVY$28*$C$28</f>
        <v>8.5094057840678986E+28</v>
      </c>
      <c r="PWC28" s="613">
        <f t="shared" ref="PWC28" si="5731">PWA$28*$C$28</f>
        <v>8.5944998419085769E+28</v>
      </c>
      <c r="PWE28" s="613">
        <f t="shared" ref="PWE28" si="5732">PWC$28*$C$28</f>
        <v>8.6804448403276631E+28</v>
      </c>
      <c r="PWG28" s="613">
        <f t="shared" ref="PWG28" si="5733">PWE$28*$C$28</f>
        <v>8.7672492887309406E+28</v>
      </c>
      <c r="PWI28" s="613">
        <f t="shared" ref="PWI28" si="5734">PWG$28*$C$28</f>
        <v>8.8549217816182493E+28</v>
      </c>
      <c r="PWK28" s="613">
        <f t="shared" ref="PWK28" si="5735">PWI$28*$C$28</f>
        <v>8.943470999434432E+28</v>
      </c>
      <c r="PWM28" s="613">
        <f t="shared" ref="PWM28" si="5736">PWK$28*$C$28</f>
        <v>9.0329057094287762E+28</v>
      </c>
      <c r="PWO28" s="613">
        <f t="shared" ref="PWO28" si="5737">PWM$28*$C$28</f>
        <v>9.1232347665230633E+28</v>
      </c>
      <c r="PWQ28" s="613">
        <f t="shared" ref="PWQ28" si="5738">PWO$28*$C$28</f>
        <v>9.2144671141882945E+28</v>
      </c>
      <c r="PWS28" s="613">
        <f t="shared" ref="PWS28" si="5739">PWQ$28*$C$28</f>
        <v>9.3066117853301781E+28</v>
      </c>
      <c r="PWU28" s="613">
        <f t="shared" ref="PWU28" si="5740">PWS$28*$C$28</f>
        <v>9.3996779031834807E+28</v>
      </c>
      <c r="PWW28" s="613">
        <f t="shared" ref="PWW28" si="5741">PWU$28*$C$28</f>
        <v>9.4936746822153155E+28</v>
      </c>
      <c r="PWY28" s="613">
        <f t="shared" ref="PWY28" si="5742">PWW$28*$C$28</f>
        <v>9.588611429037468E+28</v>
      </c>
      <c r="PXA28" s="613">
        <f t="shared" ref="PXA28" si="5743">PWY$28*$C$28</f>
        <v>9.6844975433278431E+28</v>
      </c>
      <c r="PXC28" s="613">
        <f t="shared" ref="PXC28" si="5744">PXA$28*$C$28</f>
        <v>9.7813425187611214E+28</v>
      </c>
      <c r="PXE28" s="613">
        <f t="shared" ref="PXE28" si="5745">PXC$28*$C$28</f>
        <v>9.8791559439487327E+28</v>
      </c>
      <c r="PXG28" s="613">
        <f t="shared" ref="PXG28" si="5746">PXE$28*$C$28</f>
        <v>9.9779475033882202E+28</v>
      </c>
      <c r="PXI28" s="613">
        <f t="shared" ref="PXI28" si="5747">PXG$28*$C$28</f>
        <v>1.0077726978422102E+29</v>
      </c>
      <c r="PXK28" s="613">
        <f t="shared" ref="PXK28" si="5748">PXI$28*$C$28</f>
        <v>1.0178504248206323E+29</v>
      </c>
      <c r="PXM28" s="613">
        <f t="shared" ref="PXM28" si="5749">PXK$28*$C$28</f>
        <v>1.0280289290688387E+29</v>
      </c>
      <c r="PXO28" s="613">
        <f t="shared" ref="PXO28" si="5750">PXM$28*$C$28</f>
        <v>1.0383092183595271E+29</v>
      </c>
      <c r="PXQ28" s="613">
        <f t="shared" ref="PXQ28" si="5751">PXO$28*$C$28</f>
        <v>1.0486923105431224E+29</v>
      </c>
      <c r="PXS28" s="613">
        <f t="shared" ref="PXS28" si="5752">PXQ$28*$C$28</f>
        <v>1.0591792336485536E+29</v>
      </c>
      <c r="PXU28" s="613">
        <f t="shared" ref="PXU28" si="5753">PXS$28*$C$28</f>
        <v>1.0697710259850391E+29</v>
      </c>
      <c r="PXW28" s="613">
        <f t="shared" ref="PXW28" si="5754">PXU$28*$C$28</f>
        <v>1.0804687362448895E+29</v>
      </c>
      <c r="PXY28" s="613">
        <f t="shared" ref="PXY28" si="5755">PXW$28*$C$28</f>
        <v>1.0912734236073383E+29</v>
      </c>
      <c r="PYA28" s="613">
        <f t="shared" ref="PYA28" si="5756">PXY$28*$C$28</f>
        <v>1.1021861578434117E+29</v>
      </c>
      <c r="PYC28" s="613">
        <f t="shared" ref="PYC28" si="5757">PYA$28*$C$28</f>
        <v>1.1132080194218459E+29</v>
      </c>
      <c r="PYE28" s="613">
        <f t="shared" ref="PYE28" si="5758">PYC$28*$C$28</f>
        <v>1.1243400996160644E+29</v>
      </c>
      <c r="PYG28" s="613">
        <f t="shared" ref="PYG28" si="5759">PYE$28*$C$28</f>
        <v>1.1355835006122252E+29</v>
      </c>
      <c r="PYI28" s="613">
        <f t="shared" ref="PYI28" si="5760">PYG$28*$C$28</f>
        <v>1.1469393356183474E+29</v>
      </c>
      <c r="PYK28" s="613">
        <f t="shared" ref="PYK28" si="5761">PYI$28*$C$28</f>
        <v>1.1584087289745309E+29</v>
      </c>
      <c r="PYM28" s="613">
        <f t="shared" ref="PYM28" si="5762">PYK$28*$C$28</f>
        <v>1.1699928162642763E+29</v>
      </c>
      <c r="PYO28" s="613">
        <f t="shared" ref="PYO28" si="5763">PYM$28*$C$28</f>
        <v>1.1816927444269191E+29</v>
      </c>
      <c r="PYQ28" s="613">
        <f t="shared" ref="PYQ28" si="5764">PYO$28*$C$28</f>
        <v>1.1935096718711883E+29</v>
      </c>
      <c r="PYS28" s="613">
        <f t="shared" ref="PYS28" si="5765">PYQ$28*$C$28</f>
        <v>1.2054447685899003E+29</v>
      </c>
      <c r="PYU28" s="613">
        <f t="shared" ref="PYU28" si="5766">PYS$28*$C$28</f>
        <v>1.2174992162757994E+29</v>
      </c>
      <c r="PYW28" s="613">
        <f t="shared" ref="PYW28" si="5767">PYU$28*$C$28</f>
        <v>1.2296742084385574E+29</v>
      </c>
      <c r="PYY28" s="613">
        <f t="shared" ref="PYY28" si="5768">PYW$28*$C$28</f>
        <v>1.2419709505229431E+29</v>
      </c>
      <c r="PZA28" s="613">
        <f t="shared" ref="PZA28" si="5769">PYY$28*$C$28</f>
        <v>1.2543906600281726E+29</v>
      </c>
      <c r="PZC28" s="613">
        <f t="shared" ref="PZC28" si="5770">PZA$28*$C$28</f>
        <v>1.2669345666284543E+29</v>
      </c>
      <c r="PZE28" s="613">
        <f t="shared" ref="PZE28" si="5771">PZC$28*$C$28</f>
        <v>1.279603912294739E+29</v>
      </c>
      <c r="PZG28" s="613">
        <f t="shared" ref="PZG28" si="5772">PZE$28*$C$28</f>
        <v>1.2923999514176864E+29</v>
      </c>
      <c r="PZI28" s="613">
        <f t="shared" ref="PZI28" si="5773">PZG$28*$C$28</f>
        <v>1.3053239509318634E+29</v>
      </c>
      <c r="PZK28" s="613">
        <f t="shared" ref="PZK28" si="5774">PZI$28*$C$28</f>
        <v>1.3183771904411821E+29</v>
      </c>
      <c r="PZM28" s="613">
        <f t="shared" ref="PZM28" si="5775">PZK$28*$C$28</f>
        <v>1.3315609623455938E+29</v>
      </c>
      <c r="PZO28" s="613">
        <f t="shared" ref="PZO28" si="5776">PZM$28*$C$28</f>
        <v>1.3448765719690497E+29</v>
      </c>
      <c r="PZQ28" s="613">
        <f t="shared" ref="PZQ28" si="5777">PZO$28*$C$28</f>
        <v>1.3583253376887402E+29</v>
      </c>
      <c r="PZS28" s="613">
        <f t="shared" ref="PZS28" si="5778">PZQ$28*$C$28</f>
        <v>1.3719085910656277E+29</v>
      </c>
      <c r="PZU28" s="613">
        <f t="shared" ref="PZU28" si="5779">PZS$28*$C$28</f>
        <v>1.385627676976284E+29</v>
      </c>
      <c r="PZW28" s="613">
        <f t="shared" ref="PZW28" si="5780">PZU$28*$C$28</f>
        <v>1.3994839537460468E+29</v>
      </c>
      <c r="PZY28" s="613">
        <f t="shared" ref="PZY28" si="5781">PZW$28*$C$28</f>
        <v>1.4134787932835073E+29</v>
      </c>
      <c r="QAA28" s="613">
        <f t="shared" ref="QAA28" si="5782">PZY$28*$C$28</f>
        <v>1.4276135812163424E+29</v>
      </c>
      <c r="QAC28" s="613">
        <f t="shared" ref="QAC28" si="5783">QAA$28*$C$28</f>
        <v>1.4418897170285058E+29</v>
      </c>
      <c r="QAE28" s="613">
        <f t="shared" ref="QAE28" si="5784">QAC$28*$C$28</f>
        <v>1.4563086141987908E+29</v>
      </c>
      <c r="QAG28" s="613">
        <f t="shared" ref="QAG28" si="5785">QAE$28*$C$28</f>
        <v>1.4708717003407788E+29</v>
      </c>
      <c r="QAI28" s="613">
        <f t="shared" ref="QAI28" si="5786">QAG$28*$C$28</f>
        <v>1.4855804173441866E+29</v>
      </c>
      <c r="QAK28" s="613">
        <f t="shared" ref="QAK28" si="5787">QAI$28*$C$28</f>
        <v>1.5004362215176286E+29</v>
      </c>
      <c r="QAM28" s="613">
        <f t="shared" ref="QAM28" si="5788">QAK$28*$C$28</f>
        <v>1.5154405837328049E+29</v>
      </c>
      <c r="QAO28" s="613">
        <f t="shared" ref="QAO28" si="5789">QAM$28*$C$28</f>
        <v>1.5305949895701329E+29</v>
      </c>
      <c r="QAQ28" s="613">
        <f t="shared" ref="QAQ28" si="5790">QAO$28*$C$28</f>
        <v>1.5459009394658342E+29</v>
      </c>
      <c r="QAS28" s="613">
        <f t="shared" ref="QAS28" si="5791">QAQ$28*$C$28</f>
        <v>1.5613599488604926E+29</v>
      </c>
      <c r="QAU28" s="613">
        <f t="shared" ref="QAU28" si="5792">QAS$28*$C$28</f>
        <v>1.5769735483490975E+29</v>
      </c>
      <c r="QAW28" s="613">
        <f t="shared" ref="QAW28" si="5793">QAU$28*$C$28</f>
        <v>1.5927432838325886E+29</v>
      </c>
      <c r="QAY28" s="613">
        <f t="shared" ref="QAY28" si="5794">QAW$28*$C$28</f>
        <v>1.6086707166709144E+29</v>
      </c>
      <c r="QBA28" s="613">
        <f t="shared" ref="QBA28" si="5795">QAY$28*$C$28</f>
        <v>1.6247574238376237E+29</v>
      </c>
      <c r="QBC28" s="613">
        <f t="shared" ref="QBC28" si="5796">QBA$28*$C$28</f>
        <v>1.641004998076E+29</v>
      </c>
      <c r="QBE28" s="613">
        <f t="shared" ref="QBE28" si="5797">QBC$28*$C$28</f>
        <v>1.6574150480567601E+29</v>
      </c>
      <c r="QBG28" s="613">
        <f t="shared" ref="QBG28" si="5798">QBE$28*$C$28</f>
        <v>1.6739891985373276E+29</v>
      </c>
      <c r="QBI28" s="613">
        <f t="shared" ref="QBI28" si="5799">QBG$28*$C$28</f>
        <v>1.6907290905227009E+29</v>
      </c>
      <c r="QBK28" s="613">
        <f t="shared" ref="QBK28" si="5800">QBI$28*$C$28</f>
        <v>1.7076363814279278E+29</v>
      </c>
      <c r="QBM28" s="613">
        <f t="shared" ref="QBM28" si="5801">QBK$28*$C$28</f>
        <v>1.724712745242207E+29</v>
      </c>
      <c r="QBO28" s="613">
        <f t="shared" ref="QBO28" si="5802">QBM$28*$C$28</f>
        <v>1.741959872694629E+29</v>
      </c>
      <c r="QBQ28" s="613">
        <f t="shared" ref="QBQ28" si="5803">QBO$28*$C$28</f>
        <v>1.7593794714215751E+29</v>
      </c>
      <c r="QBS28" s="613">
        <f t="shared" ref="QBS28" si="5804">QBQ$28*$C$28</f>
        <v>1.776973266135791E+29</v>
      </c>
      <c r="QBU28" s="613">
        <f t="shared" ref="QBU28" si="5805">QBS$28*$C$28</f>
        <v>1.7947429987971487E+29</v>
      </c>
      <c r="QBW28" s="613">
        <f t="shared" ref="QBW28" si="5806">QBU$28*$C$28</f>
        <v>1.8126904287851204E+29</v>
      </c>
      <c r="QBY28" s="613">
        <f t="shared" ref="QBY28" si="5807">QBW$28*$C$28</f>
        <v>1.8308173330729715E+29</v>
      </c>
      <c r="QCA28" s="613">
        <f t="shared" ref="QCA28" si="5808">QBY$28*$C$28</f>
        <v>1.8491255064037012E+29</v>
      </c>
      <c r="QCC28" s="613">
        <f t="shared" ref="QCC28" si="5809">QCA$28*$C$28</f>
        <v>1.8676167614677383E+29</v>
      </c>
      <c r="QCE28" s="613">
        <f t="shared" ref="QCE28" si="5810">QCC$28*$C$28</f>
        <v>1.8862929290824156E+29</v>
      </c>
      <c r="QCG28" s="613">
        <f t="shared" ref="QCG28" si="5811">QCE$28*$C$28</f>
        <v>1.9051558583732398E+29</v>
      </c>
      <c r="QCI28" s="613">
        <f t="shared" ref="QCI28" si="5812">QCG$28*$C$28</f>
        <v>1.9242074169569721E+29</v>
      </c>
      <c r="QCK28" s="613">
        <f t="shared" ref="QCK28" si="5813">QCI$28*$C$28</f>
        <v>1.9434494911265417E+29</v>
      </c>
      <c r="QCM28" s="613">
        <f t="shared" ref="QCM28" si="5814">QCK$28*$C$28</f>
        <v>1.9628839860378071E+29</v>
      </c>
      <c r="QCO28" s="613">
        <f t="shared" ref="QCO28" si="5815">QCM$28*$C$28</f>
        <v>1.9825128258981853E+29</v>
      </c>
      <c r="QCQ28" s="613">
        <f t="shared" ref="QCQ28" si="5816">QCO$28*$C$28</f>
        <v>2.002337954157167E+29</v>
      </c>
      <c r="QCS28" s="613">
        <f t="shared" ref="QCS28" si="5817">QCQ$28*$C$28</f>
        <v>2.0223613336987388E+29</v>
      </c>
      <c r="QCU28" s="613">
        <f t="shared" ref="QCU28" si="5818">QCS$28*$C$28</f>
        <v>2.0425849470357262E+29</v>
      </c>
      <c r="QCW28" s="613">
        <f t="shared" ref="QCW28" si="5819">QCU$28*$C$28</f>
        <v>2.0630107965060836E+29</v>
      </c>
      <c r="QCY28" s="613">
        <f t="shared" ref="QCY28" si="5820">QCW$28*$C$28</f>
        <v>2.0836409044711444E+29</v>
      </c>
      <c r="QDA28" s="613">
        <f t="shared" ref="QDA28" si="5821">QCY$28*$C$28</f>
        <v>2.1044773135158558E+29</v>
      </c>
      <c r="QDC28" s="613">
        <f t="shared" ref="QDC28" si="5822">QDA$28*$C$28</f>
        <v>2.1255220866510144E+29</v>
      </c>
      <c r="QDE28" s="613">
        <f t="shared" ref="QDE28" si="5823">QDC$28*$C$28</f>
        <v>2.1467773075175245E+29</v>
      </c>
      <c r="QDG28" s="613">
        <f t="shared" ref="QDG28" si="5824">QDE$28*$C$28</f>
        <v>2.1682450805926997E+29</v>
      </c>
      <c r="QDI28" s="613">
        <f t="shared" ref="QDI28" si="5825">QDG$28*$C$28</f>
        <v>2.1899275313986268E+29</v>
      </c>
      <c r="QDK28" s="613">
        <f t="shared" ref="QDK28" si="5826">QDI$28*$C$28</f>
        <v>2.2118268067126132E+29</v>
      </c>
      <c r="QDM28" s="613">
        <f t="shared" ref="QDM28" si="5827">QDK$28*$C$28</f>
        <v>2.2339450747797392E+29</v>
      </c>
      <c r="QDO28" s="613">
        <f t="shared" ref="QDO28" si="5828">QDM$28*$C$28</f>
        <v>2.2562845255275367E+29</v>
      </c>
      <c r="QDQ28" s="613">
        <f t="shared" ref="QDQ28" si="5829">QDO$28*$C$28</f>
        <v>2.2788473707828122E+29</v>
      </c>
      <c r="QDS28" s="613">
        <f t="shared" ref="QDS28" si="5830">QDQ$28*$C$28</f>
        <v>2.3016358444906402E+29</v>
      </c>
      <c r="QDU28" s="613">
        <f t="shared" ref="QDU28" si="5831">QDS$28*$C$28</f>
        <v>2.3246522029355468E+29</v>
      </c>
      <c r="QDW28" s="613">
        <f t="shared" ref="QDW28" si="5832">QDU$28*$C$28</f>
        <v>2.3478987249649023E+29</v>
      </c>
      <c r="QDY28" s="613">
        <f t="shared" ref="QDY28" si="5833">QDW$28*$C$28</f>
        <v>2.3713777122145515E+29</v>
      </c>
      <c r="QEA28" s="613">
        <f t="shared" ref="QEA28" si="5834">QDY$28*$C$28</f>
        <v>2.395091489336697E+29</v>
      </c>
      <c r="QEC28" s="613">
        <f t="shared" ref="QEC28" si="5835">QEA$28*$C$28</f>
        <v>2.4190424042300639E+29</v>
      </c>
      <c r="QEE28" s="613">
        <f t="shared" ref="QEE28" si="5836">QEC$28*$C$28</f>
        <v>2.4432328282723646E+29</v>
      </c>
      <c r="QEG28" s="613">
        <f t="shared" ref="QEG28" si="5837">QEE$28*$C$28</f>
        <v>2.4676651565550881E+29</v>
      </c>
      <c r="QEI28" s="613">
        <f t="shared" ref="QEI28" si="5838">QEG$28*$C$28</f>
        <v>2.492341808120639E+29</v>
      </c>
      <c r="QEK28" s="613">
        <f t="shared" ref="QEK28" si="5839">QEI$28*$C$28</f>
        <v>2.5172652262018455E+29</v>
      </c>
      <c r="QEM28" s="613">
        <f t="shared" ref="QEM28" si="5840">QEK$28*$C$28</f>
        <v>2.542437878463864E+29</v>
      </c>
      <c r="QEO28" s="613">
        <f t="shared" ref="QEO28" si="5841">QEM$28*$C$28</f>
        <v>2.5678622572485027E+29</v>
      </c>
      <c r="QEQ28" s="613">
        <f t="shared" ref="QEQ28" si="5842">QEO$28*$C$28</f>
        <v>2.5935408798209876E+29</v>
      </c>
      <c r="QES28" s="613">
        <f t="shared" ref="QES28" si="5843">QEQ$28*$C$28</f>
        <v>2.6194762886191977E+29</v>
      </c>
      <c r="QEU28" s="613">
        <f t="shared" ref="QEU28" si="5844">QES$28*$C$28</f>
        <v>2.6456710515053897E+29</v>
      </c>
      <c r="QEW28" s="613">
        <f t="shared" ref="QEW28" si="5845">QEU$28*$C$28</f>
        <v>2.6721277620204437E+29</v>
      </c>
      <c r="QEY28" s="613">
        <f t="shared" ref="QEY28" si="5846">QEW$28*$C$28</f>
        <v>2.6988490396406482E+29</v>
      </c>
      <c r="QFA28" s="613">
        <f t="shared" ref="QFA28" si="5847">QEY$28*$C$28</f>
        <v>2.7258375300370545E+29</v>
      </c>
      <c r="QFC28" s="613">
        <f t="shared" ref="QFC28" si="5848">QFA$28*$C$28</f>
        <v>2.753095905337425E+29</v>
      </c>
      <c r="QFE28" s="613">
        <f t="shared" ref="QFE28" si="5849">QFC$28*$C$28</f>
        <v>2.7806268643907991E+29</v>
      </c>
      <c r="QFG28" s="613">
        <f t="shared" ref="QFG28" si="5850">QFE$28*$C$28</f>
        <v>2.8084331330347072E+29</v>
      </c>
      <c r="QFI28" s="613">
        <f t="shared" ref="QFI28" si="5851">QFG$28*$C$28</f>
        <v>2.8365174643650544E+29</v>
      </c>
      <c r="QFK28" s="613">
        <f t="shared" ref="QFK28" si="5852">QFI$28*$C$28</f>
        <v>2.864882639008705E+29</v>
      </c>
      <c r="QFM28" s="613">
        <f t="shared" ref="QFM28" si="5853">QFK$28*$C$28</f>
        <v>2.8935314653987922E+29</v>
      </c>
      <c r="QFO28" s="613">
        <f t="shared" ref="QFO28" si="5854">QFM$28*$C$28</f>
        <v>2.9224667800527803E+29</v>
      </c>
      <c r="QFQ28" s="613">
        <f t="shared" ref="QFQ28" si="5855">QFO$28*$C$28</f>
        <v>2.9516914478533083E+29</v>
      </c>
      <c r="QFS28" s="613">
        <f t="shared" ref="QFS28" si="5856">QFQ$28*$C$28</f>
        <v>2.9812083623318413E+29</v>
      </c>
      <c r="QFU28" s="613">
        <f t="shared" ref="QFU28" si="5857">QFS$28*$C$28</f>
        <v>3.0110204459551596E+29</v>
      </c>
      <c r="QFW28" s="613">
        <f t="shared" ref="QFW28" si="5858">QFU$28*$C$28</f>
        <v>3.0411306504147112E+29</v>
      </c>
      <c r="QFY28" s="613">
        <f t="shared" ref="QFY28" si="5859">QFW$28*$C$28</f>
        <v>3.0715419569188585E+29</v>
      </c>
      <c r="QGA28" s="613">
        <f t="shared" ref="QGA28" si="5860">QFY$28*$C$28</f>
        <v>3.102257376488047E+29</v>
      </c>
      <c r="QGC28" s="613">
        <f t="shared" ref="QGC28" si="5861">QGA$28*$C$28</f>
        <v>3.1332799502529275E+29</v>
      </c>
      <c r="QGE28" s="613">
        <f t="shared" ref="QGE28" si="5862">QGC$28*$C$28</f>
        <v>3.164612749755457E+29</v>
      </c>
      <c r="QGG28" s="613">
        <f t="shared" ref="QGG28" si="5863">QGE$28*$C$28</f>
        <v>3.1962588772530114E+29</v>
      </c>
      <c r="QGI28" s="613">
        <f t="shared" ref="QGI28" si="5864">QGG$28*$C$28</f>
        <v>3.2282214660255414E+29</v>
      </c>
      <c r="QGK28" s="613">
        <f t="shared" ref="QGK28" si="5865">QGI$28*$C$28</f>
        <v>3.2605036806857965E+29</v>
      </c>
      <c r="QGM28" s="613">
        <f t="shared" ref="QGM28" si="5866">QGK$28*$C$28</f>
        <v>3.2931087174926543E+29</v>
      </c>
      <c r="QGO28" s="613">
        <f t="shared" ref="QGO28" si="5867">QGM$28*$C$28</f>
        <v>3.3260398046675807E+29</v>
      </c>
      <c r="QGQ28" s="613">
        <f t="shared" ref="QGQ28" si="5868">QGO$28*$C$28</f>
        <v>3.3593002027142566E+29</v>
      </c>
      <c r="QGS28" s="613">
        <f t="shared" ref="QGS28" si="5869">QGQ$28*$C$28</f>
        <v>3.3928932047413992E+29</v>
      </c>
      <c r="QGU28" s="613">
        <f t="shared" ref="QGU28" si="5870">QGS$28*$C$28</f>
        <v>3.4268221367888131E+29</v>
      </c>
      <c r="QGW28" s="613">
        <f t="shared" ref="QGW28" si="5871">QGU$28*$C$28</f>
        <v>3.4610903581567013E+29</v>
      </c>
      <c r="QGY28" s="613">
        <f t="shared" ref="QGY28" si="5872">QGW$28*$C$28</f>
        <v>3.495701261738268E+29</v>
      </c>
      <c r="QHA28" s="613">
        <f t="shared" ref="QHA28" si="5873">QGY$28*$C$28</f>
        <v>3.5306582743556508E+29</v>
      </c>
      <c r="QHC28" s="613">
        <f t="shared" ref="QHC28" si="5874">QHA$28*$C$28</f>
        <v>3.5659648570992073E+29</v>
      </c>
      <c r="QHE28" s="613">
        <f t="shared" ref="QHE28" si="5875">QHC$28*$C$28</f>
        <v>3.6016245056701995E+29</v>
      </c>
      <c r="QHG28" s="613">
        <f t="shared" ref="QHG28" si="5876">QHE$28*$C$28</f>
        <v>3.6376407507269012E+29</v>
      </c>
      <c r="QHI28" s="613">
        <f t="shared" ref="QHI28" si="5877">QHG$28*$C$28</f>
        <v>3.6740171582341699E+29</v>
      </c>
      <c r="QHK28" s="613">
        <f t="shared" ref="QHK28" si="5878">QHI$28*$C$28</f>
        <v>3.7107573298165115E+29</v>
      </c>
      <c r="QHM28" s="613">
        <f t="shared" ref="QHM28" si="5879">QHK$28*$C$28</f>
        <v>3.7478649031146764E+29</v>
      </c>
      <c r="QHO28" s="613">
        <f t="shared" ref="QHO28" si="5880">QHM$28*$C$28</f>
        <v>3.785343552145823E+29</v>
      </c>
      <c r="QHQ28" s="613">
        <f t="shared" ref="QHQ28" si="5881">QHO$28*$C$28</f>
        <v>3.8231969876672812E+29</v>
      </c>
      <c r="QHS28" s="613">
        <f t="shared" ref="QHS28" si="5882">QHQ$28*$C$28</f>
        <v>3.8614289575439542E+29</v>
      </c>
      <c r="QHU28" s="613">
        <f t="shared" ref="QHU28" si="5883">QHS$28*$C$28</f>
        <v>3.9000432471193937E+29</v>
      </c>
      <c r="QHW28" s="613">
        <f t="shared" ref="QHW28" si="5884">QHU$28*$C$28</f>
        <v>3.9390436795905874E+29</v>
      </c>
      <c r="QHY28" s="613">
        <f t="shared" ref="QHY28" si="5885">QHW$28*$C$28</f>
        <v>3.9784341163864936E+29</v>
      </c>
      <c r="QIA28" s="613">
        <f t="shared" ref="QIA28" si="5886">QHY$28*$C$28</f>
        <v>4.0182184575503589E+29</v>
      </c>
      <c r="QIC28" s="613">
        <f t="shared" ref="QIC28" si="5887">QIA$28*$C$28</f>
        <v>4.0584006421258623E+29</v>
      </c>
      <c r="QIE28" s="613">
        <f t="shared" ref="QIE28" si="5888">QIC$28*$C$28</f>
        <v>4.0989846485471208E+29</v>
      </c>
      <c r="QIG28" s="613">
        <f t="shared" ref="QIG28" si="5889">QIE$28*$C$28</f>
        <v>4.1399744950325924E+29</v>
      </c>
      <c r="QII28" s="613">
        <f t="shared" ref="QII28" si="5890">QIG$28*$C$28</f>
        <v>4.1813742399829184E+29</v>
      </c>
      <c r="QIK28" s="613">
        <f t="shared" ref="QIK28" si="5891">QII$28*$C$28</f>
        <v>4.2231879823827479E+29</v>
      </c>
      <c r="QIM28" s="613">
        <f t="shared" ref="QIM28" si="5892">QIK$28*$C$28</f>
        <v>4.2654198622065752E+29</v>
      </c>
      <c r="QIO28" s="613">
        <f t="shared" ref="QIO28" si="5893">QIM$28*$C$28</f>
        <v>4.3080740608286412E+29</v>
      </c>
      <c r="QIQ28" s="613">
        <f t="shared" ref="QIQ28" si="5894">QIO$28*$C$28</f>
        <v>4.3511548014369275E+29</v>
      </c>
      <c r="QIS28" s="613">
        <f t="shared" ref="QIS28" si="5895">QIQ$28*$C$28</f>
        <v>4.394666349451297E+29</v>
      </c>
      <c r="QIU28" s="613">
        <f t="shared" ref="QIU28" si="5896">QIS$28*$C$28</f>
        <v>4.4386130129458103E+29</v>
      </c>
      <c r="QIW28" s="613">
        <f t="shared" ref="QIW28" si="5897">QIU$28*$C$28</f>
        <v>4.4829991430752684E+29</v>
      </c>
      <c r="QIY28" s="613">
        <f t="shared" ref="QIY28" si="5898">QIW$28*$C$28</f>
        <v>4.5278291345060213E+29</v>
      </c>
      <c r="QJA28" s="613">
        <f t="shared" ref="QJA28" si="5899">QIY$28*$C$28</f>
        <v>4.5731074258510816E+29</v>
      </c>
      <c r="QJC28" s="613">
        <f t="shared" ref="QJC28" si="5900">QJA$28*$C$28</f>
        <v>4.6188385001095923E+29</v>
      </c>
      <c r="QJE28" s="613">
        <f t="shared" ref="QJE28" si="5901">QJC$28*$C$28</f>
        <v>4.6650268851106882E+29</v>
      </c>
      <c r="QJG28" s="613">
        <f t="shared" ref="QJG28" si="5902">QJE$28*$C$28</f>
        <v>4.7116771539617949E+29</v>
      </c>
      <c r="QJI28" s="613">
        <f t="shared" ref="QJI28" si="5903">QJG$28*$C$28</f>
        <v>4.7587939255014132E+29</v>
      </c>
      <c r="QJK28" s="613">
        <f t="shared" ref="QJK28" si="5904">QJI$28*$C$28</f>
        <v>4.806381864756427E+29</v>
      </c>
      <c r="QJM28" s="613">
        <f t="shared" ref="QJM28" si="5905">QJK$28*$C$28</f>
        <v>4.8544456834039911E+29</v>
      </c>
      <c r="QJO28" s="613">
        <f t="shared" ref="QJO28" si="5906">QJM$28*$C$28</f>
        <v>4.9029901402380313E+29</v>
      </c>
      <c r="QJQ28" s="613">
        <f t="shared" ref="QJQ28" si="5907">QJO$28*$C$28</f>
        <v>4.9520200416404119E+29</v>
      </c>
      <c r="QJS28" s="613">
        <f t="shared" ref="QJS28" si="5908">QJQ$28*$C$28</f>
        <v>5.0015402420568164E+29</v>
      </c>
      <c r="QJU28" s="613">
        <f t="shared" ref="QJU28" si="5909">QJS$28*$C$28</f>
        <v>5.0515556444773848E+29</v>
      </c>
      <c r="QJW28" s="613">
        <f t="shared" ref="QJW28" si="5910">QJU$28*$C$28</f>
        <v>5.1020712009221588E+29</v>
      </c>
      <c r="QJY28" s="613">
        <f t="shared" ref="QJY28" si="5911">QJW$28*$C$28</f>
        <v>5.1530919129313804E+29</v>
      </c>
      <c r="QKA28" s="613">
        <f t="shared" ref="QKA28" si="5912">QJY$28*$C$28</f>
        <v>5.204622832060694E+29</v>
      </c>
      <c r="QKC28" s="613">
        <f t="shared" ref="QKC28" si="5913">QKA$28*$C$28</f>
        <v>5.2566690603813012E+29</v>
      </c>
      <c r="QKE28" s="613">
        <f t="shared" ref="QKE28" si="5914">QKC$28*$C$28</f>
        <v>5.3092357509851141E+29</v>
      </c>
      <c r="QKG28" s="613">
        <f t="shared" ref="QKG28" si="5915">QKE$28*$C$28</f>
        <v>5.3623281084949653E+29</v>
      </c>
      <c r="QKI28" s="613">
        <f t="shared" ref="QKI28" si="5916">QKG$28*$C$28</f>
        <v>5.4159513895799151E+29</v>
      </c>
      <c r="QKK28" s="613">
        <f t="shared" ref="QKK28" si="5917">QKI$28*$C$28</f>
        <v>5.4701109034757145E+29</v>
      </c>
      <c r="QKM28" s="613">
        <f t="shared" ref="QKM28" si="5918">QKK$28*$C$28</f>
        <v>5.5248120125104718E+29</v>
      </c>
      <c r="QKO28" s="613">
        <f t="shared" ref="QKO28" si="5919">QKM$28*$C$28</f>
        <v>5.5800601326355765E+29</v>
      </c>
      <c r="QKQ28" s="613">
        <f t="shared" ref="QKQ28" si="5920">QKO$28*$C$28</f>
        <v>5.6358607339619322E+29</v>
      </c>
      <c r="QKS28" s="613">
        <f t="shared" ref="QKS28" si="5921">QKQ$28*$C$28</f>
        <v>5.6922193413015517E+29</v>
      </c>
      <c r="QKU28" s="613">
        <f t="shared" ref="QKU28" si="5922">QKS$28*$C$28</f>
        <v>5.7491415347145671E+29</v>
      </c>
      <c r="QKW28" s="613">
        <f t="shared" ref="QKW28" si="5923">QKU$28*$C$28</f>
        <v>5.8066329500617126E+29</v>
      </c>
      <c r="QKY28" s="613">
        <f t="shared" ref="QKY28" si="5924">QKW$28*$C$28</f>
        <v>5.8646992795623299E+29</v>
      </c>
      <c r="QLA28" s="613">
        <f t="shared" ref="QLA28" si="5925">QKY$28*$C$28</f>
        <v>5.9233462723579531E+29</v>
      </c>
      <c r="QLC28" s="613">
        <f t="shared" ref="QLC28" si="5926">QLA$28*$C$28</f>
        <v>5.9825797350815325E+29</v>
      </c>
      <c r="QLE28" s="613">
        <f t="shared" ref="QLE28" si="5927">QLC$28*$C$28</f>
        <v>6.0424055324323476E+29</v>
      </c>
      <c r="QLG28" s="613">
        <f t="shared" ref="QLG28" si="5928">QLE$28*$C$28</f>
        <v>6.1028295877566711E+29</v>
      </c>
      <c r="QLI28" s="613">
        <f t="shared" ref="QLI28" si="5929">QLG$28*$C$28</f>
        <v>6.1638578836342377E+29</v>
      </c>
      <c r="QLK28" s="613">
        <f t="shared" ref="QLK28" si="5930">QLI$28*$C$28</f>
        <v>6.2254964624705803E+29</v>
      </c>
      <c r="QLM28" s="613">
        <f t="shared" ref="QLM28" si="5931">QLK$28*$C$28</f>
        <v>6.2877514270952865E+29</v>
      </c>
      <c r="QLO28" s="613">
        <f t="shared" ref="QLO28" si="5932">QLM$28*$C$28</f>
        <v>6.3506289413662399E+29</v>
      </c>
      <c r="QLQ28" s="613">
        <f t="shared" ref="QLQ28" si="5933">QLO$28*$C$28</f>
        <v>6.4141352307799018E+29</v>
      </c>
      <c r="QLS28" s="613">
        <f t="shared" ref="QLS28" si="5934">QLQ$28*$C$28</f>
        <v>6.4782765830877009E+29</v>
      </c>
      <c r="QLU28" s="613">
        <f t="shared" ref="QLU28" si="5935">QLS$28*$C$28</f>
        <v>6.5430593489185775E+29</v>
      </c>
      <c r="QLW28" s="613">
        <f t="shared" ref="QLW28" si="5936">QLU$28*$C$28</f>
        <v>6.6084899424077632E+29</v>
      </c>
      <c r="QLY28" s="613">
        <f t="shared" ref="QLY28" si="5937">QLW$28*$C$28</f>
        <v>6.6745748418318406E+29</v>
      </c>
      <c r="QMA28" s="613">
        <f t="shared" ref="QMA28" si="5938">QLY$28*$C$28</f>
        <v>6.7413205902501585E+29</v>
      </c>
      <c r="QMC28" s="613">
        <f t="shared" ref="QMC28" si="5939">QMA$28*$C$28</f>
        <v>6.8087337961526595E+29</v>
      </c>
      <c r="QME28" s="613">
        <f t="shared" ref="QME28" si="5940">QMC$28*$C$28</f>
        <v>6.8768211341141866E+29</v>
      </c>
      <c r="QMG28" s="613">
        <f t="shared" ref="QMG28" si="5941">QME$28*$C$28</f>
        <v>6.9455893454553289E+29</v>
      </c>
      <c r="QMI28" s="613">
        <f t="shared" ref="QMI28" si="5942">QMG$28*$C$28</f>
        <v>7.0150452389098818E+29</v>
      </c>
      <c r="QMK28" s="613">
        <f t="shared" ref="QMK28" si="5943">QMI$28*$C$28</f>
        <v>7.0851956912989807E+29</v>
      </c>
      <c r="QMM28" s="613">
        <f t="shared" ref="QMM28" si="5944">QMK$28*$C$28</f>
        <v>7.1560476482119712E+29</v>
      </c>
      <c r="QMO28" s="613">
        <f t="shared" ref="QMO28" si="5945">QMM$28*$C$28</f>
        <v>7.2276081246940914E+29</v>
      </c>
      <c r="QMQ28" s="613">
        <f t="shared" ref="QMQ28" si="5946">QMO$28*$C$28</f>
        <v>7.2998842059410327E+29</v>
      </c>
      <c r="QMS28" s="613">
        <f t="shared" ref="QMS28" si="5947">QMQ$28*$C$28</f>
        <v>7.3728830480004432E+29</v>
      </c>
      <c r="QMU28" s="613">
        <f t="shared" ref="QMU28" si="5948">QMS$28*$C$28</f>
        <v>7.4466118784804477E+29</v>
      </c>
      <c r="QMW28" s="613">
        <f t="shared" ref="QMW28" si="5949">QMU$28*$C$28</f>
        <v>7.5210779972652528E+29</v>
      </c>
      <c r="QMY28" s="613">
        <f t="shared" ref="QMY28" si="5950">QMW$28*$C$28</f>
        <v>7.596288777237906E+29</v>
      </c>
      <c r="QNA28" s="613">
        <f t="shared" ref="QNA28" si="5951">QMY$28*$C$28</f>
        <v>7.6722516650102855E+29</v>
      </c>
      <c r="QNC28" s="613">
        <f t="shared" ref="QNC28" si="5952">QNA$28*$C$28</f>
        <v>7.7489741816603885E+29</v>
      </c>
      <c r="QNE28" s="613">
        <f t="shared" ref="QNE28" si="5953">QNC$28*$C$28</f>
        <v>7.826463923476993E+29</v>
      </c>
      <c r="QNG28" s="613">
        <f t="shared" ref="QNG28" si="5954">QNE$28*$C$28</f>
        <v>7.9047285627117634E+29</v>
      </c>
      <c r="QNI28" s="613">
        <f t="shared" ref="QNI28" si="5955">QNG$28*$C$28</f>
        <v>7.9837758483388807E+29</v>
      </c>
      <c r="QNK28" s="613">
        <f t="shared" ref="QNK28" si="5956">QNI$28*$C$28</f>
        <v>8.0636136068222692E+29</v>
      </c>
      <c r="QNM28" s="613">
        <f t="shared" ref="QNM28" si="5957">QNK$28*$C$28</f>
        <v>8.1442497428904924E+29</v>
      </c>
      <c r="QNO28" s="613">
        <f t="shared" ref="QNO28" si="5958">QNM$28*$C$28</f>
        <v>8.2256922403193973E+29</v>
      </c>
      <c r="QNQ28" s="613">
        <f t="shared" ref="QNQ28" si="5959">QNO$28*$C$28</f>
        <v>8.3079491627225916E+29</v>
      </c>
      <c r="QNS28" s="613">
        <f t="shared" ref="QNS28" si="5960">QNQ$28*$C$28</f>
        <v>8.3910286543498169E+29</v>
      </c>
      <c r="QNU28" s="613">
        <f t="shared" ref="QNU28" si="5961">QNS$28*$C$28</f>
        <v>8.4749389408933149E+29</v>
      </c>
      <c r="QNW28" s="613">
        <f t="shared" ref="QNW28" si="5962">QNU$28*$C$28</f>
        <v>8.5596883303022475E+29</v>
      </c>
      <c r="QNY28" s="613">
        <f t="shared" ref="QNY28" si="5963">QNW$28*$C$28</f>
        <v>8.6452852136052705E+29</v>
      </c>
      <c r="QOA28" s="613">
        <f t="shared" ref="QOA28" si="5964">QNY$28*$C$28</f>
        <v>8.7317380657413228E+29</v>
      </c>
      <c r="QOC28" s="613">
        <f t="shared" ref="QOC28" si="5965">QOA$28*$C$28</f>
        <v>8.8190554463987368E+29</v>
      </c>
      <c r="QOE28" s="613">
        <f t="shared" ref="QOE28" si="5966">QOC$28*$C$28</f>
        <v>8.9072460008627245E+29</v>
      </c>
      <c r="QOG28" s="613">
        <f t="shared" ref="QOG28" si="5967">QOE$28*$C$28</f>
        <v>8.9963184608713516E+29</v>
      </c>
      <c r="QOI28" s="613">
        <f t="shared" ref="QOI28" si="5968">QOG$28*$C$28</f>
        <v>9.0862816454800648E+29</v>
      </c>
      <c r="QOK28" s="613">
        <f t="shared" ref="QOK28" si="5969">QOI$28*$C$28</f>
        <v>9.1771444619348656E+29</v>
      </c>
      <c r="QOM28" s="613">
        <f t="shared" ref="QOM28" si="5970">QOK$28*$C$28</f>
        <v>9.2689159065542149E+29</v>
      </c>
      <c r="QOO28" s="613">
        <f t="shared" ref="QOO28" si="5971">QOM$28*$C$28</f>
        <v>9.3616050656197565E+29</v>
      </c>
      <c r="QOQ28" s="613">
        <f t="shared" ref="QOQ28" si="5972">QOO$28*$C$28</f>
        <v>9.4552211162759544E+29</v>
      </c>
      <c r="QOS28" s="613">
        <f t="shared" ref="QOS28" si="5973">QOQ$28*$C$28</f>
        <v>9.5497733274387142E+29</v>
      </c>
      <c r="QOU28" s="613">
        <f t="shared" ref="QOU28" si="5974">QOS$28*$C$28</f>
        <v>9.6452710607131008E+29</v>
      </c>
      <c r="QOW28" s="613">
        <f t="shared" ref="QOW28" si="5975">QOU$28*$C$28</f>
        <v>9.7417237713202316E+29</v>
      </c>
      <c r="QOY28" s="613">
        <f t="shared" ref="QOY28" si="5976">QOW$28*$C$28</f>
        <v>9.8391410090334343E+29</v>
      </c>
      <c r="QPA28" s="613">
        <f t="shared" ref="QPA28" si="5977">QOY$28*$C$28</f>
        <v>9.9375324191237685E+29</v>
      </c>
      <c r="QPC28" s="613">
        <f t="shared" ref="QPC28" si="5978">QPA$28*$C$28</f>
        <v>1.0036907743315006E+30</v>
      </c>
      <c r="QPE28" s="613">
        <f t="shared" ref="QPE28" si="5979">QPC$28*$C$28</f>
        <v>1.0137276820748157E+30</v>
      </c>
      <c r="QPG28" s="613">
        <f t="shared" ref="QPG28" si="5980">QPE$28*$C$28</f>
        <v>1.0238649588955639E+30</v>
      </c>
      <c r="QPI28" s="613">
        <f t="shared" ref="QPI28" si="5981">QPG$28*$C$28</f>
        <v>1.0341036084845196E+30</v>
      </c>
      <c r="QPK28" s="613">
        <f t="shared" ref="QPK28" si="5982">QPI$28*$C$28</f>
        <v>1.0444446445693648E+30</v>
      </c>
      <c r="QPM28" s="613">
        <f t="shared" ref="QPM28" si="5983">QPK$28*$C$28</f>
        <v>1.0548890910150584E+30</v>
      </c>
      <c r="QPO28" s="613">
        <f t="shared" ref="QPO28" si="5984">QPM$28*$C$28</f>
        <v>1.065437981925209E+30</v>
      </c>
      <c r="QPQ28" s="613">
        <f t="shared" ref="QPQ28" si="5985">QPO$28*$C$28</f>
        <v>1.0760923617444611E+30</v>
      </c>
      <c r="QPS28" s="613">
        <f t="shared" ref="QPS28" si="5986">QPQ$28*$C$28</f>
        <v>1.0868532853619058E+30</v>
      </c>
      <c r="QPU28" s="613">
        <f t="shared" ref="QPU28" si="5987">QPS$28*$C$28</f>
        <v>1.0977218182155248E+30</v>
      </c>
      <c r="QPW28" s="613">
        <f t="shared" ref="QPW28" si="5988">QPU$28*$C$28</f>
        <v>1.1086990363976801E+30</v>
      </c>
      <c r="QPY28" s="613">
        <f t="shared" ref="QPY28" si="5989">QPW$28*$C$28</f>
        <v>1.119786026761657E+30</v>
      </c>
      <c r="QQA28" s="613">
        <f t="shared" ref="QQA28" si="5990">QPY$28*$C$28</f>
        <v>1.1309838870292735E+30</v>
      </c>
      <c r="QQC28" s="613">
        <f t="shared" ref="QQC28" si="5991">QQA$28*$C$28</f>
        <v>1.1422937258995662E+30</v>
      </c>
      <c r="QQE28" s="613">
        <f t="shared" ref="QQE28" si="5992">QQC$28*$C$28</f>
        <v>1.153716663158562E+30</v>
      </c>
      <c r="QQG28" s="613">
        <f t="shared" ref="QQG28" si="5993">QQE$28*$C$28</f>
        <v>1.1652538297901476E+30</v>
      </c>
      <c r="QQI28" s="613">
        <f t="shared" ref="QQI28" si="5994">QQG$28*$C$28</f>
        <v>1.1769063680880491E+30</v>
      </c>
      <c r="QQK28" s="613">
        <f t="shared" ref="QQK28" si="5995">QQI$28*$C$28</f>
        <v>1.1886754317689297E+30</v>
      </c>
      <c r="QQM28" s="613">
        <f t="shared" ref="QQM28" si="5996">QQK$28*$C$28</f>
        <v>1.2005621860866189E+30</v>
      </c>
      <c r="QQO28" s="613">
        <f t="shared" ref="QQO28" si="5997">QQM$28*$C$28</f>
        <v>1.2125678079474851E+30</v>
      </c>
      <c r="QQQ28" s="613">
        <f t="shared" ref="QQQ28" si="5998">QQO$28*$C$28</f>
        <v>1.2246934860269599E+30</v>
      </c>
      <c r="QQS28" s="613">
        <f t="shared" ref="QQS28" si="5999">QQQ$28*$C$28</f>
        <v>1.2369404208872295E+30</v>
      </c>
      <c r="QQU28" s="613">
        <f t="shared" ref="QQU28" si="6000">QQS$28*$C$28</f>
        <v>1.2493098250961017E+30</v>
      </c>
      <c r="QQW28" s="613">
        <f t="shared" ref="QQW28" si="6001">QQU$28*$C$28</f>
        <v>1.2618029233470628E+30</v>
      </c>
      <c r="QQY28" s="613">
        <f t="shared" ref="QQY28" si="6002">QQW$28*$C$28</f>
        <v>1.2744209525805335E+30</v>
      </c>
      <c r="QRA28" s="613">
        <f t="shared" ref="QRA28" si="6003">QQY$28*$C$28</f>
        <v>1.2871651621063388E+30</v>
      </c>
      <c r="QRC28" s="613">
        <f t="shared" ref="QRC28" si="6004">QRA$28*$C$28</f>
        <v>1.3000368137274023E+30</v>
      </c>
      <c r="QRE28" s="613">
        <f t="shared" ref="QRE28" si="6005">QRC$28*$C$28</f>
        <v>1.3130371818646764E+30</v>
      </c>
      <c r="QRG28" s="613">
        <f t="shared" ref="QRG28" si="6006">QRE$28*$C$28</f>
        <v>1.3261675536833232E+30</v>
      </c>
      <c r="QRI28" s="613">
        <f t="shared" ref="QRI28" si="6007">QRG$28*$C$28</f>
        <v>1.3394292292201563E+30</v>
      </c>
      <c r="QRK28" s="613">
        <f t="shared" ref="QRK28" si="6008">QRI$28*$C$28</f>
        <v>1.352823521512358E+30</v>
      </c>
      <c r="QRM28" s="613">
        <f t="shared" ref="QRM28" si="6009">QRK$28*$C$28</f>
        <v>1.3663517567274815E+30</v>
      </c>
      <c r="QRO28" s="613">
        <f t="shared" ref="QRO28" si="6010">QRM$28*$C$28</f>
        <v>1.3800152742947563E+30</v>
      </c>
      <c r="QRQ28" s="613">
        <f t="shared" ref="QRQ28" si="6011">QRO$28*$C$28</f>
        <v>1.3938154270377038E+30</v>
      </c>
      <c r="QRS28" s="613">
        <f t="shared" ref="QRS28" si="6012">QRQ$28*$C$28</f>
        <v>1.4077535813080808E+30</v>
      </c>
      <c r="QRU28" s="613">
        <f t="shared" ref="QRU28" si="6013">QRS$28*$C$28</f>
        <v>1.4218311171211616E+30</v>
      </c>
      <c r="QRW28" s="613">
        <f t="shared" ref="QRW28" si="6014">QRU$28*$C$28</f>
        <v>1.4360494282923734E+30</v>
      </c>
      <c r="QRY28" s="613">
        <f t="shared" ref="QRY28" si="6015">QRW$28*$C$28</f>
        <v>1.4504099225752972E+30</v>
      </c>
      <c r="QSA28" s="613">
        <f t="shared" ref="QSA28" si="6016">QRY$28*$C$28</f>
        <v>1.4649140218010501E+30</v>
      </c>
      <c r="QSC28" s="613">
        <f t="shared" ref="QSC28" si="6017">QSA$28*$C$28</f>
        <v>1.4795631620190608E+30</v>
      </c>
      <c r="QSE28" s="613">
        <f t="shared" ref="QSE28" si="6018">QSC$28*$C$28</f>
        <v>1.4943587936392513E+30</v>
      </c>
      <c r="QSG28" s="613">
        <f t="shared" ref="QSG28" si="6019">QSE$28*$C$28</f>
        <v>1.5093023815756438E+30</v>
      </c>
      <c r="QSI28" s="613">
        <f t="shared" ref="QSI28" si="6020">QSG$28*$C$28</f>
        <v>1.5243954053914004E+30</v>
      </c>
      <c r="QSK28" s="613">
        <f t="shared" ref="QSK28" si="6021">QSI$28*$C$28</f>
        <v>1.5396393594453145E+30</v>
      </c>
      <c r="QSM28" s="613">
        <f t="shared" ref="QSM28" si="6022">QSK$28*$C$28</f>
        <v>1.5550357530397676E+30</v>
      </c>
      <c r="QSO28" s="613">
        <f t="shared" ref="QSO28" si="6023">QSM$28*$C$28</f>
        <v>1.5705861105701652E+30</v>
      </c>
      <c r="QSQ28" s="613">
        <f t="shared" ref="QSQ28" si="6024">QSO$28*$C$28</f>
        <v>1.5862919716758669E+30</v>
      </c>
      <c r="QSS28" s="613">
        <f t="shared" ref="QSS28" si="6025">QSQ$28*$C$28</f>
        <v>1.6021548913926256E+30</v>
      </c>
      <c r="QSU28" s="613">
        <f t="shared" ref="QSU28" si="6026">QSS$28*$C$28</f>
        <v>1.6181764403065518E+30</v>
      </c>
      <c r="QSW28" s="613">
        <f t="shared" ref="QSW28" si="6027">QSU$28*$C$28</f>
        <v>1.6343582047096174E+30</v>
      </c>
      <c r="QSY28" s="613">
        <f t="shared" ref="QSY28" si="6028">QSW$28*$C$28</f>
        <v>1.6507017867567136E+30</v>
      </c>
      <c r="QTA28" s="613">
        <f t="shared" ref="QTA28" si="6029">QSY$28*$C$28</f>
        <v>1.6672088046242807E+30</v>
      </c>
      <c r="QTC28" s="613">
        <f t="shared" ref="QTC28" si="6030">QTA$28*$C$28</f>
        <v>1.6838808926705235E+30</v>
      </c>
      <c r="QTE28" s="613">
        <f t="shared" ref="QTE28" si="6031">QTC$28*$C$28</f>
        <v>1.7007197015972288E+30</v>
      </c>
      <c r="QTG28" s="613">
        <f t="shared" ref="QTG28" si="6032">QTE$28*$C$28</f>
        <v>1.7177268986132012E+30</v>
      </c>
      <c r="QTI28" s="613">
        <f t="shared" ref="QTI28" si="6033">QTG$28*$C$28</f>
        <v>1.7349041675993332E+30</v>
      </c>
      <c r="QTK28" s="613">
        <f t="shared" ref="QTK28" si="6034">QTI$28*$C$28</f>
        <v>1.7522532092753267E+30</v>
      </c>
      <c r="QTM28" s="613">
        <f t="shared" ref="QTM28" si="6035">QTK$28*$C$28</f>
        <v>1.7697757413680799E+30</v>
      </c>
      <c r="QTO28" s="613">
        <f t="shared" ref="QTO28" si="6036">QTM$28*$C$28</f>
        <v>1.7874734987817608E+30</v>
      </c>
      <c r="QTQ28" s="613">
        <f t="shared" ref="QTQ28" si="6037">QTO$28*$C$28</f>
        <v>1.8053482337695785E+30</v>
      </c>
      <c r="QTS28" s="613">
        <f t="shared" ref="QTS28" si="6038">QTQ$28*$C$28</f>
        <v>1.8234017161072743E+30</v>
      </c>
      <c r="QTU28" s="613">
        <f t="shared" ref="QTU28" si="6039">QTS$28*$C$28</f>
        <v>1.841635733268347E+30</v>
      </c>
      <c r="QTW28" s="613">
        <f t="shared" ref="QTW28" si="6040">QTU$28*$C$28</f>
        <v>1.8600520906010306E+30</v>
      </c>
      <c r="QTY28" s="613">
        <f t="shared" ref="QTY28" si="6041">QTW$28*$C$28</f>
        <v>1.878652611507041E+30</v>
      </c>
      <c r="QUA28" s="613">
        <f t="shared" ref="QUA28" si="6042">QTY$28*$C$28</f>
        <v>1.8974391376221116E+30</v>
      </c>
      <c r="QUC28" s="613">
        <f t="shared" ref="QUC28" si="6043">QUA$28*$C$28</f>
        <v>1.9164135289983327E+30</v>
      </c>
      <c r="QUE28" s="613">
        <f t="shared" ref="QUE28" si="6044">QUC$28*$C$28</f>
        <v>1.935577664288316E+30</v>
      </c>
      <c r="QUG28" s="613">
        <f t="shared" ref="QUG28" si="6045">QUE$28*$C$28</f>
        <v>1.9549334409311991E+30</v>
      </c>
      <c r="QUI28" s="613">
        <f t="shared" ref="QUI28" si="6046">QUG$28*$C$28</f>
        <v>1.974482775340511E+30</v>
      </c>
      <c r="QUK28" s="613">
        <f t="shared" ref="QUK28" si="6047">QUI$28*$C$28</f>
        <v>1.9942276030939161E+30</v>
      </c>
      <c r="QUM28" s="613">
        <f t="shared" ref="QUM28" si="6048">QUK$28*$C$28</f>
        <v>2.0141698791248553E+30</v>
      </c>
      <c r="QUO28" s="613">
        <f t="shared" ref="QUO28" si="6049">QUM$28*$C$28</f>
        <v>2.0343115779161038E+30</v>
      </c>
      <c r="QUQ28" s="613">
        <f t="shared" ref="QUQ28" si="6050">QUO$28*$C$28</f>
        <v>2.0546546936952649E+30</v>
      </c>
      <c r="QUS28" s="613">
        <f t="shared" ref="QUS28" si="6051">QUQ$28*$C$28</f>
        <v>2.0752012406322175E+30</v>
      </c>
      <c r="QUU28" s="613">
        <f t="shared" ref="QUU28" si="6052">QUS$28*$C$28</f>
        <v>2.0959532530385398E+30</v>
      </c>
      <c r="QUW28" s="613">
        <f t="shared" ref="QUW28" si="6053">QUU$28*$C$28</f>
        <v>2.1169127855689251E+30</v>
      </c>
      <c r="QUY28" s="613">
        <f t="shared" ref="QUY28" si="6054">QUW$28*$C$28</f>
        <v>2.1380819134246144E+30</v>
      </c>
      <c r="QVA28" s="613">
        <f t="shared" ref="QVA28" si="6055">QUY$28*$C$28</f>
        <v>2.1594627325588606E+30</v>
      </c>
      <c r="QVC28" s="613">
        <f t="shared" ref="QVC28" si="6056">QVA$28*$C$28</f>
        <v>2.1810573598844493E+30</v>
      </c>
      <c r="QVE28" s="613">
        <f t="shared" ref="QVE28" si="6057">QVC$28*$C$28</f>
        <v>2.2028679334832938E+30</v>
      </c>
      <c r="QVG28" s="613">
        <f t="shared" ref="QVG28" si="6058">QVE$28*$C$28</f>
        <v>2.2248966128181268E+30</v>
      </c>
      <c r="QVI28" s="613">
        <f t="shared" ref="QVI28" si="6059">QVG$28*$C$28</f>
        <v>2.2471455789463082E+30</v>
      </c>
      <c r="QVK28" s="613">
        <f t="shared" ref="QVK28" si="6060">QVI$28*$C$28</f>
        <v>2.2696170347357712E+30</v>
      </c>
      <c r="QVM28" s="613">
        <f t="shared" ref="QVM28" si="6061">QVK$28*$C$28</f>
        <v>2.2923132050831289E+30</v>
      </c>
      <c r="QVO28" s="613">
        <f t="shared" ref="QVO28" si="6062">QVM$28*$C$28</f>
        <v>2.3152363371339603E+30</v>
      </c>
      <c r="QVQ28" s="613">
        <f t="shared" ref="QVQ28" si="6063">QVO$28*$C$28</f>
        <v>2.3383887005053E+30</v>
      </c>
      <c r="QVS28" s="613">
        <f t="shared" ref="QVS28" si="6064">QVQ$28*$C$28</f>
        <v>2.3617725875103529E+30</v>
      </c>
      <c r="QVU28" s="613">
        <f t="shared" ref="QVU28" si="6065">QVS$28*$C$28</f>
        <v>2.3853903133854565E+30</v>
      </c>
      <c r="QVW28" s="613">
        <f t="shared" ref="QVW28" si="6066">QVU$28*$C$28</f>
        <v>2.409244216519311E+30</v>
      </c>
      <c r="QVY28" s="613">
        <f t="shared" ref="QVY28" si="6067">QVW$28*$C$28</f>
        <v>2.4333366586845043E+30</v>
      </c>
      <c r="QWA28" s="613">
        <f t="shared" ref="QWA28" si="6068">QVY$28*$C$28</f>
        <v>2.4576700252713495E+30</v>
      </c>
      <c r="QWC28" s="613">
        <f t="shared" ref="QWC28" si="6069">QWA$28*$C$28</f>
        <v>2.482246725524063E+30</v>
      </c>
      <c r="QWE28" s="613">
        <f t="shared" ref="QWE28" si="6070">QWC$28*$C$28</f>
        <v>2.5070691927793036E+30</v>
      </c>
      <c r="QWG28" s="613">
        <f t="shared" ref="QWG28" si="6071">QWE$28*$C$28</f>
        <v>2.5321398847070968E+30</v>
      </c>
      <c r="QWI28" s="613">
        <f t="shared" ref="QWI28" si="6072">QWG$28*$C$28</f>
        <v>2.5574612835541677E+30</v>
      </c>
      <c r="QWK28" s="613">
        <f t="shared" ref="QWK28" si="6073">QWI$28*$C$28</f>
        <v>2.5830358963897094E+30</v>
      </c>
      <c r="QWM28" s="613">
        <f t="shared" ref="QWM28" si="6074">QWK$28*$C$28</f>
        <v>2.6088662553536064E+30</v>
      </c>
      <c r="QWO28" s="613">
        <f t="shared" ref="QWO28" si="6075">QWM$28*$C$28</f>
        <v>2.6349549179071425E+30</v>
      </c>
      <c r="QWQ28" s="613">
        <f t="shared" ref="QWQ28" si="6076">QWO$28*$C$28</f>
        <v>2.661304467086214E+30</v>
      </c>
      <c r="QWS28" s="613">
        <f t="shared" ref="QWS28" si="6077">QWQ$28*$C$28</f>
        <v>2.6879175117570759E+30</v>
      </c>
      <c r="QWU28" s="613">
        <f t="shared" ref="QWU28" si="6078">QWS$28*$C$28</f>
        <v>2.7147966868746468E+30</v>
      </c>
      <c r="QWW28" s="613">
        <f t="shared" ref="QWW28" si="6079">QWU$28*$C$28</f>
        <v>2.7419446537433932E+30</v>
      </c>
      <c r="QWY28" s="613">
        <f t="shared" ref="QWY28" si="6080">QWW$28*$C$28</f>
        <v>2.7693641002808269E+30</v>
      </c>
      <c r="QXA28" s="613">
        <f t="shared" ref="QXA28" si="6081">QWY$28*$C$28</f>
        <v>2.7970577412836354E+30</v>
      </c>
      <c r="QXC28" s="613">
        <f t="shared" ref="QXC28" si="6082">QXA$28*$C$28</f>
        <v>2.8250283186964717E+30</v>
      </c>
      <c r="QXE28" s="613">
        <f t="shared" ref="QXE28" si="6083">QXC$28*$C$28</f>
        <v>2.8532786018834366E+30</v>
      </c>
      <c r="QXG28" s="613">
        <f t="shared" ref="QXG28" si="6084">QXE$28*$C$28</f>
        <v>2.8818113879022708E+30</v>
      </c>
      <c r="QXI28" s="613">
        <f t="shared" ref="QXI28" si="6085">QXG$28*$C$28</f>
        <v>2.9106295017812934E+30</v>
      </c>
      <c r="QXK28" s="613">
        <f t="shared" ref="QXK28" si="6086">QXI$28*$C$28</f>
        <v>2.9397357967991061E+30</v>
      </c>
      <c r="QXM28" s="613">
        <f t="shared" ref="QXM28" si="6087">QXK$28*$C$28</f>
        <v>2.9691331547670969E+30</v>
      </c>
      <c r="QXO28" s="613">
        <f t="shared" ref="QXO28" si="6088">QXM$28*$C$28</f>
        <v>2.998824486314768E+30</v>
      </c>
      <c r="QXQ28" s="613">
        <f t="shared" ref="QXQ28" si="6089">QXO$28*$C$28</f>
        <v>3.0288127311779158E+30</v>
      </c>
      <c r="QXS28" s="613">
        <f t="shared" ref="QXS28" si="6090">QXQ$28*$C$28</f>
        <v>3.0591008584896947E+30</v>
      </c>
      <c r="QXU28" s="613">
        <f t="shared" ref="QXU28" si="6091">QXS$28*$C$28</f>
        <v>3.089691867074592E+30</v>
      </c>
      <c r="QXW28" s="613">
        <f t="shared" ref="QXW28" si="6092">QXU$28*$C$28</f>
        <v>3.120588785745338E+30</v>
      </c>
      <c r="QXY28" s="613">
        <f t="shared" ref="QXY28" si="6093">QXW$28*$C$28</f>
        <v>3.1517946736027917E+30</v>
      </c>
      <c r="QYA28" s="613">
        <f t="shared" ref="QYA28" si="6094">QXY$28*$C$28</f>
        <v>3.1833126203388196E+30</v>
      </c>
      <c r="QYC28" s="613">
        <f t="shared" ref="QYC28" si="6095">QYA$28*$C$28</f>
        <v>3.2151457465422078E+30</v>
      </c>
      <c r="QYE28" s="613">
        <f t="shared" ref="QYE28" si="6096">QYC$28*$C$28</f>
        <v>3.24729720400763E+30</v>
      </c>
      <c r="QYG28" s="613">
        <f t="shared" ref="QYG28" si="6097">QYE$28*$C$28</f>
        <v>3.2797701760477065E+30</v>
      </c>
      <c r="QYI28" s="613">
        <f t="shared" ref="QYI28" si="6098">QYG$28*$C$28</f>
        <v>3.3125678778081835E+30</v>
      </c>
      <c r="QYK28" s="613">
        <f t="shared" ref="QYK28" si="6099">QYI$28*$C$28</f>
        <v>3.3456935565862652E+30</v>
      </c>
      <c r="QYM28" s="613">
        <f t="shared" ref="QYM28" si="6100">QYK$28*$C$28</f>
        <v>3.379150492152128E+30</v>
      </c>
      <c r="QYO28" s="613">
        <f t="shared" ref="QYO28" si="6101">QYM$28*$C$28</f>
        <v>3.4129419970736496E+30</v>
      </c>
      <c r="QYQ28" s="613">
        <f t="shared" ref="QYQ28" si="6102">QYO$28*$C$28</f>
        <v>3.4470714170443859E+30</v>
      </c>
      <c r="QYS28" s="613">
        <f t="shared" ref="QYS28" si="6103">QYQ$28*$C$28</f>
        <v>3.4815421312148297E+30</v>
      </c>
      <c r="QYU28" s="613">
        <f t="shared" ref="QYU28" si="6104">QYS$28*$C$28</f>
        <v>3.5163575525269781E+30</v>
      </c>
      <c r="QYW28" s="613">
        <f t="shared" ref="QYW28" si="6105">QYU$28*$C$28</f>
        <v>3.5515211280522477E+30</v>
      </c>
      <c r="QYY28" s="613">
        <f t="shared" ref="QYY28" si="6106">QYW$28*$C$28</f>
        <v>3.5870363393327702E+30</v>
      </c>
      <c r="QZA28" s="613">
        <f t="shared" ref="QZA28" si="6107">QYY$28*$C$28</f>
        <v>3.6229067027260979E+30</v>
      </c>
      <c r="QZC28" s="613">
        <f t="shared" ref="QZC28" si="6108">QZA$28*$C$28</f>
        <v>3.6591357697533588E+30</v>
      </c>
      <c r="QZE28" s="613">
        <f t="shared" ref="QZE28" si="6109">QZC$28*$C$28</f>
        <v>3.6957271274508925E+30</v>
      </c>
      <c r="QZG28" s="613">
        <f t="shared" ref="QZG28" si="6110">QZE$28*$C$28</f>
        <v>3.7326843987254012E+30</v>
      </c>
      <c r="QZI28" s="613">
        <f t="shared" ref="QZI28" si="6111">QZG$28*$C$28</f>
        <v>3.7700112427126554E+30</v>
      </c>
      <c r="QZK28" s="613">
        <f t="shared" ref="QZK28" si="6112">QZI$28*$C$28</f>
        <v>3.8077113551397821E+30</v>
      </c>
      <c r="QZM28" s="613">
        <f t="shared" ref="QZM28" si="6113">QZK$28*$C$28</f>
        <v>3.8457884686911802E+30</v>
      </c>
      <c r="QZO28" s="613">
        <f t="shared" ref="QZO28" si="6114">QZM$28*$C$28</f>
        <v>3.8842463533780921E+30</v>
      </c>
      <c r="QZQ28" s="613">
        <f t="shared" ref="QZQ28" si="6115">QZO$28*$C$28</f>
        <v>3.9230888169118732E+30</v>
      </c>
      <c r="QZS28" s="613">
        <f t="shared" ref="QZS28" si="6116">QZQ$28*$C$28</f>
        <v>3.9623197050809917E+30</v>
      </c>
      <c r="QZU28" s="613">
        <f t="shared" ref="QZU28" si="6117">QZS$28*$C$28</f>
        <v>4.0019429021318016E+30</v>
      </c>
      <c r="QZW28" s="613">
        <f t="shared" ref="QZW28" si="6118">QZU$28*$C$28</f>
        <v>4.0419623311531196E+30</v>
      </c>
      <c r="QZY28" s="613">
        <f t="shared" ref="QZY28" si="6119">QZW$28*$C$28</f>
        <v>4.0823819544646506E+30</v>
      </c>
      <c r="RAA28" s="613">
        <f t="shared" ref="RAA28" si="6120">QZY$28*$C$28</f>
        <v>4.1232057740092974E+30</v>
      </c>
      <c r="RAC28" s="613">
        <f t="shared" ref="RAC28" si="6121">RAA$28*$C$28</f>
        <v>4.1644378317493903E+30</v>
      </c>
      <c r="RAE28" s="613">
        <f t="shared" ref="RAE28" si="6122">RAC$28*$C$28</f>
        <v>4.2060822100668843E+30</v>
      </c>
      <c r="RAG28" s="613">
        <f t="shared" ref="RAG28" si="6123">RAE$28*$C$28</f>
        <v>4.248143032167553E+30</v>
      </c>
      <c r="RAI28" s="613">
        <f t="shared" ref="RAI28" si="6124">RAG$28*$C$28</f>
        <v>4.2906244624892288E+30</v>
      </c>
      <c r="RAK28" s="613">
        <f t="shared" ref="RAK28" si="6125">RAI$28*$C$28</f>
        <v>4.3335307071141213E+30</v>
      </c>
      <c r="RAM28" s="613">
        <f t="shared" ref="RAM28" si="6126">RAK$28*$C$28</f>
        <v>4.3768660141852627E+30</v>
      </c>
      <c r="RAO28" s="613">
        <f t="shared" ref="RAO28" si="6127">RAM$28*$C$28</f>
        <v>4.4206346743271153E+30</v>
      </c>
      <c r="RAQ28" s="613">
        <f t="shared" ref="RAQ28" si="6128">RAO$28*$C$28</f>
        <v>4.4648410210703866E+30</v>
      </c>
      <c r="RAS28" s="613">
        <f t="shared" ref="RAS28" si="6129">RAQ$28*$C$28</f>
        <v>4.5094894312810906E+30</v>
      </c>
      <c r="RAU28" s="613">
        <f t="shared" ref="RAU28" si="6130">RAS$28*$C$28</f>
        <v>4.5545843255939014E+30</v>
      </c>
      <c r="RAW28" s="613">
        <f t="shared" ref="RAW28" si="6131">RAU$28*$C$28</f>
        <v>4.6001301688498404E+30</v>
      </c>
      <c r="RAY28" s="613">
        <f t="shared" ref="RAY28" si="6132">RAW$28*$C$28</f>
        <v>4.6461314705383391E+30</v>
      </c>
      <c r="RBA28" s="613">
        <f t="shared" ref="RBA28" si="6133">RAY$28*$C$28</f>
        <v>4.6925927852437224E+30</v>
      </c>
      <c r="RBC28" s="613">
        <f t="shared" ref="RBC28" si="6134">RBA$28*$C$28</f>
        <v>4.7395187130961599E+30</v>
      </c>
      <c r="RBE28" s="613">
        <f t="shared" ref="RBE28" si="6135">RBC$28*$C$28</f>
        <v>4.7869139002271213E+30</v>
      </c>
      <c r="RBG28" s="613">
        <f t="shared" ref="RBG28" si="6136">RBE$28*$C$28</f>
        <v>4.8347830392293926E+30</v>
      </c>
      <c r="RBI28" s="613">
        <f t="shared" ref="RBI28" si="6137">RBG$28*$C$28</f>
        <v>4.8831308696216867E+30</v>
      </c>
      <c r="RBK28" s="613">
        <f t="shared" ref="RBK28" si="6138">RBI$28*$C$28</f>
        <v>4.9319621783179038E+30</v>
      </c>
      <c r="RBM28" s="613">
        <f t="shared" ref="RBM28" si="6139">RBK$28*$C$28</f>
        <v>4.981281800101083E+30</v>
      </c>
      <c r="RBO28" s="613">
        <f t="shared" ref="RBO28" si="6140">RBM$28*$C$28</f>
        <v>5.0310946181020941E+30</v>
      </c>
      <c r="RBQ28" s="613">
        <f t="shared" ref="RBQ28" si="6141">RBO$28*$C$28</f>
        <v>5.0814055642831148E+30</v>
      </c>
      <c r="RBS28" s="613">
        <f t="shared" ref="RBS28" si="6142">RBQ$28*$C$28</f>
        <v>5.1322196199259459E+30</v>
      </c>
      <c r="RBU28" s="613">
        <f t="shared" ref="RBU28" si="6143">RBS$28*$C$28</f>
        <v>5.1835418161252053E+30</v>
      </c>
      <c r="RBW28" s="613">
        <f t="shared" ref="RBW28" si="6144">RBU$28*$C$28</f>
        <v>5.2353772342864574E+30</v>
      </c>
      <c r="RBY28" s="613">
        <f t="shared" ref="RBY28" si="6145">RBW$28*$C$28</f>
        <v>5.2877310066293224E+30</v>
      </c>
      <c r="RCA28" s="613">
        <f t="shared" ref="RCA28" si="6146">RBY$28*$C$28</f>
        <v>5.3406083166956158E+30</v>
      </c>
      <c r="RCC28" s="613">
        <f t="shared" ref="RCC28" si="6147">RCA$28*$C$28</f>
        <v>5.3940143998625724E+30</v>
      </c>
      <c r="RCE28" s="613">
        <f t="shared" ref="RCE28" si="6148">RCC$28*$C$28</f>
        <v>5.4479545438611986E+30</v>
      </c>
      <c r="RCG28" s="613">
        <f t="shared" ref="RCG28" si="6149">RCE$28*$C$28</f>
        <v>5.5024340892998111E+30</v>
      </c>
      <c r="RCI28" s="613">
        <f t="shared" ref="RCI28" si="6150">RCG$28*$C$28</f>
        <v>5.5574584301928092E+30</v>
      </c>
      <c r="RCK28" s="613">
        <f t="shared" ref="RCK28" si="6151">RCI$28*$C$28</f>
        <v>5.6130330144947374E+30</v>
      </c>
      <c r="RCM28" s="613">
        <f t="shared" ref="RCM28" si="6152">RCK$28*$C$28</f>
        <v>5.6691633446396852E+30</v>
      </c>
      <c r="RCO28" s="613">
        <f t="shared" ref="RCO28" si="6153">RCM$28*$C$28</f>
        <v>5.7258549780860826E+30</v>
      </c>
      <c r="RCQ28" s="613">
        <f t="shared" ref="RCQ28" si="6154">RCO$28*$C$28</f>
        <v>5.7831135278669435E+30</v>
      </c>
      <c r="RCS28" s="613">
        <f t="shared" ref="RCS28" si="6155">RCQ$28*$C$28</f>
        <v>5.8409446631456132E+30</v>
      </c>
      <c r="RCU28" s="613">
        <f t="shared" ref="RCU28" si="6156">RCS$28*$C$28</f>
        <v>5.8993541097770698E+30</v>
      </c>
      <c r="RCW28" s="613">
        <f t="shared" ref="RCW28" si="6157">RCU$28*$C$28</f>
        <v>5.9583476508748401E+30</v>
      </c>
      <c r="RCY28" s="613">
        <f t="shared" ref="RCY28" si="6158">RCW$28*$C$28</f>
        <v>6.0179311273835889E+30</v>
      </c>
      <c r="RDA28" s="613">
        <f t="shared" ref="RDA28" si="6159">RCY$28*$C$28</f>
        <v>6.0781104386574253E+30</v>
      </c>
      <c r="RDC28" s="613">
        <f t="shared" ref="RDC28" si="6160">RDA$28*$C$28</f>
        <v>6.1388915430439997E+30</v>
      </c>
      <c r="RDE28" s="613">
        <f t="shared" ref="RDE28" si="6161">RDC$28*$C$28</f>
        <v>6.2002804584744399E+30</v>
      </c>
      <c r="RDG28" s="613">
        <f t="shared" ref="RDG28" si="6162">RDE$28*$C$28</f>
        <v>6.2622832630591844E+30</v>
      </c>
      <c r="RDI28" s="613">
        <f t="shared" ref="RDI28" si="6163">RDG$28*$C$28</f>
        <v>6.3249060956897768E+30</v>
      </c>
      <c r="RDK28" s="613">
        <f t="shared" ref="RDK28" si="6164">RDI$28*$C$28</f>
        <v>6.3881551566466741E+30</v>
      </c>
      <c r="RDM28" s="613">
        <f t="shared" ref="RDM28" si="6165">RDK$28*$C$28</f>
        <v>6.4520367082131415E+30</v>
      </c>
      <c r="RDO28" s="613">
        <f t="shared" ref="RDO28" si="6166">RDM$28*$C$28</f>
        <v>6.5165570752952735E+30</v>
      </c>
      <c r="RDQ28" s="613">
        <f t="shared" ref="RDQ28" si="6167">RDO$28*$C$28</f>
        <v>6.5817226460482259E+30</v>
      </c>
      <c r="RDS28" s="613">
        <f t="shared" ref="RDS28" si="6168">RDQ$28*$C$28</f>
        <v>6.6475398725087077E+30</v>
      </c>
      <c r="RDU28" s="613">
        <f t="shared" ref="RDU28" si="6169">RDS$28*$C$28</f>
        <v>6.7140152712337953E+30</v>
      </c>
      <c r="RDW28" s="613">
        <f t="shared" ref="RDW28" si="6170">RDU$28*$C$28</f>
        <v>6.7811554239461328E+30</v>
      </c>
      <c r="RDY28" s="613">
        <f t="shared" ref="RDY28" si="6171">RDW$28*$C$28</f>
        <v>6.848966978185594E+30</v>
      </c>
      <c r="REA28" s="613">
        <f t="shared" ref="REA28" si="6172">RDY$28*$C$28</f>
        <v>6.9174566479674497E+30</v>
      </c>
      <c r="REC28" s="613">
        <f t="shared" ref="REC28" si="6173">REA$28*$C$28</f>
        <v>6.9866312144471247E+30</v>
      </c>
      <c r="REE28" s="613">
        <f t="shared" ref="REE28" si="6174">REC$28*$C$28</f>
        <v>7.0564975265915958E+30</v>
      </c>
      <c r="REG28" s="613">
        <f t="shared" ref="REG28" si="6175">REE$28*$C$28</f>
        <v>7.1270625018575122E+30</v>
      </c>
      <c r="REI28" s="613">
        <f t="shared" ref="REI28" si="6176">REG$28*$C$28</f>
        <v>7.198333126876087E+30</v>
      </c>
      <c r="REK28" s="613">
        <f t="shared" ref="REK28" si="6177">REI$28*$C$28</f>
        <v>7.2703164581448483E+30</v>
      </c>
      <c r="REM28" s="613">
        <f t="shared" ref="REM28" si="6178">REK$28*$C$28</f>
        <v>7.3430196227262967E+30</v>
      </c>
      <c r="REO28" s="613">
        <f t="shared" ref="REO28" si="6179">REM$28*$C$28</f>
        <v>7.4164498189535602E+30</v>
      </c>
      <c r="REQ28" s="613">
        <f t="shared" ref="REQ28" si="6180">REO$28*$C$28</f>
        <v>7.4906143171430963E+30</v>
      </c>
      <c r="RES28" s="613">
        <f t="shared" ref="RES28" si="6181">REQ$28*$C$28</f>
        <v>7.5655204603145274E+30</v>
      </c>
      <c r="REU28" s="613">
        <f t="shared" ref="REU28" si="6182">RES$28*$C$28</f>
        <v>7.6411756649176725E+30</v>
      </c>
      <c r="REW28" s="613">
        <f t="shared" ref="REW28" si="6183">REU$28*$C$28</f>
        <v>7.7175874215668488E+30</v>
      </c>
      <c r="REY28" s="613">
        <f t="shared" ref="REY28" si="6184">REW$28*$C$28</f>
        <v>7.7947632957825172E+30</v>
      </c>
      <c r="RFA28" s="613">
        <f t="shared" ref="RFA28" si="6185">REY$28*$C$28</f>
        <v>7.8727109287403429E+30</v>
      </c>
      <c r="RFC28" s="613">
        <f t="shared" ref="RFC28" si="6186">RFA$28*$C$28</f>
        <v>7.9514380380277463E+30</v>
      </c>
      <c r="RFE28" s="613">
        <f t="shared" ref="RFE28" si="6187">RFC$28*$C$28</f>
        <v>8.0309524184080244E+30</v>
      </c>
      <c r="RFG28" s="613">
        <f t="shared" ref="RFG28" si="6188">RFE$28*$C$28</f>
        <v>8.1112619425921042E+30</v>
      </c>
      <c r="RFI28" s="613">
        <f t="shared" ref="RFI28" si="6189">RFG$28*$C$28</f>
        <v>8.192374562018025E+30</v>
      </c>
      <c r="RFK28" s="613">
        <f t="shared" ref="RFK28" si="6190">RFI$28*$C$28</f>
        <v>8.2742983076382055E+30</v>
      </c>
      <c r="RFM28" s="613">
        <f t="shared" ref="RFM28" si="6191">RFK$28*$C$28</f>
        <v>8.3570412907145873E+30</v>
      </c>
      <c r="RFO28" s="613">
        <f t="shared" ref="RFO28" si="6192">RFM$28*$C$28</f>
        <v>8.4406117036217334E+30</v>
      </c>
      <c r="RFQ28" s="613">
        <f t="shared" ref="RFQ28" si="6193">RFO$28*$C$28</f>
        <v>8.5250178206579504E+30</v>
      </c>
      <c r="RFS28" s="613">
        <f t="shared" ref="RFS28" si="6194">RFQ$28*$C$28</f>
        <v>8.6102679988645301E+30</v>
      </c>
      <c r="RFU28" s="613">
        <f t="shared" ref="RFU28" si="6195">RFS$28*$C$28</f>
        <v>8.6963706788531758E+30</v>
      </c>
      <c r="RFW28" s="613">
        <f t="shared" ref="RFW28" si="6196">RFU$28*$C$28</f>
        <v>8.7833343856417074E+30</v>
      </c>
      <c r="RFY28" s="613">
        <f t="shared" ref="RFY28" si="6197">RFW$28*$C$28</f>
        <v>8.8711677294981242E+30</v>
      </c>
      <c r="RGA28" s="613">
        <f t="shared" ref="RGA28" si="6198">RFY$28*$C$28</f>
        <v>8.9598794067931056E+30</v>
      </c>
      <c r="RGC28" s="613">
        <f t="shared" ref="RGC28" si="6199">RGA$28*$C$28</f>
        <v>9.0494782008610367E+30</v>
      </c>
      <c r="RGE28" s="613">
        <f t="shared" ref="RGE28" si="6200">RGC$28*$C$28</f>
        <v>9.1399729828696472E+30</v>
      </c>
      <c r="RGG28" s="613">
        <f t="shared" ref="RGG28" si="6201">RGE$28*$C$28</f>
        <v>9.2313727126983436E+30</v>
      </c>
      <c r="RGI28" s="613">
        <f t="shared" ref="RGI28" si="6202">RGG$28*$C$28</f>
        <v>9.3236864398253273E+30</v>
      </c>
      <c r="RGK28" s="613">
        <f t="shared" ref="RGK28" si="6203">RGI$28*$C$28</f>
        <v>9.4169233042235812E+30</v>
      </c>
      <c r="RGM28" s="613">
        <f t="shared" ref="RGM28" si="6204">RGK$28*$C$28</f>
        <v>9.5110925372658172E+30</v>
      </c>
      <c r="RGO28" s="613">
        <f t="shared" ref="RGO28" si="6205">RGM$28*$C$28</f>
        <v>9.6062034626384753E+30</v>
      </c>
      <c r="RGQ28" s="613">
        <f t="shared" ref="RGQ28" si="6206">RGO$28*$C$28</f>
        <v>9.7022654972648599E+30</v>
      </c>
      <c r="RGS28" s="613">
        <f t="shared" ref="RGS28" si="6207">RGQ$28*$C$28</f>
        <v>9.7992881522375091E+30</v>
      </c>
      <c r="RGU28" s="613">
        <f t="shared" ref="RGU28" si="6208">RGS$28*$C$28</f>
        <v>9.8972810337598845E+30</v>
      </c>
      <c r="RGW28" s="613">
        <f t="shared" ref="RGW28" si="6209">RGU$28*$C$28</f>
        <v>9.9962538440974836E+30</v>
      </c>
      <c r="RGY28" s="613">
        <f t="shared" ref="RGY28" si="6210">RGW$28*$C$28</f>
        <v>1.0096216382538458E+31</v>
      </c>
      <c r="RHA28" s="613">
        <f t="shared" ref="RHA28" si="6211">RGY$28*$C$28</f>
        <v>1.0197178546363843E+31</v>
      </c>
      <c r="RHC28" s="613">
        <f t="shared" ref="RHC28" si="6212">RHA$28*$C$28</f>
        <v>1.029915033182748E+31</v>
      </c>
      <c r="RHE28" s="613">
        <f t="shared" ref="RHE28" si="6213">RHC$28*$C$28</f>
        <v>1.0402141835145756E+31</v>
      </c>
      <c r="RHG28" s="613">
        <f t="shared" ref="RHG28" si="6214">RHE$28*$C$28</f>
        <v>1.0506163253497214E+31</v>
      </c>
      <c r="RHI28" s="613">
        <f t="shared" ref="RHI28" si="6215">RHG$28*$C$28</f>
        <v>1.0611224886032186E+31</v>
      </c>
      <c r="RHK28" s="613">
        <f t="shared" ref="RHK28" si="6216">RHI$28*$C$28</f>
        <v>1.0717337134892508E+31</v>
      </c>
      <c r="RHM28" s="613">
        <f t="shared" ref="RHM28" si="6217">RHK$28*$C$28</f>
        <v>1.0824510506241435E+31</v>
      </c>
      <c r="RHO28" s="613">
        <f t="shared" ref="RHO28" si="6218">RHM$28*$C$28</f>
        <v>1.093275561130385E+31</v>
      </c>
      <c r="RHQ28" s="613">
        <f t="shared" ref="RHQ28" si="6219">RHO$28*$C$28</f>
        <v>1.1042083167416889E+31</v>
      </c>
      <c r="RHS28" s="613">
        <f t="shared" ref="RHS28" si="6220">RHQ$28*$C$28</f>
        <v>1.1152503999091057E+31</v>
      </c>
      <c r="RHU28" s="613">
        <f t="shared" ref="RHU28" si="6221">RHS$28*$C$28</f>
        <v>1.1264029039081967E+31</v>
      </c>
      <c r="RHW28" s="613">
        <f t="shared" ref="RHW28" si="6222">RHU$28*$C$28</f>
        <v>1.1376669329472788E+31</v>
      </c>
      <c r="RHY28" s="613">
        <f t="shared" ref="RHY28" si="6223">RHW$28*$C$28</f>
        <v>1.1490436022767515E+31</v>
      </c>
      <c r="RIA28" s="613">
        <f t="shared" ref="RIA28" si="6224">RHY$28*$C$28</f>
        <v>1.160534038299519E+31</v>
      </c>
      <c r="RIC28" s="613">
        <f t="shared" ref="RIC28" si="6225">RIA$28*$C$28</f>
        <v>1.1721393786825143E+31</v>
      </c>
      <c r="RIE28" s="613">
        <f t="shared" ref="RIE28" si="6226">RIC$28*$C$28</f>
        <v>1.1838607724693394E+31</v>
      </c>
      <c r="RIG28" s="613">
        <f t="shared" ref="RIG28" si="6227">RIE$28*$C$28</f>
        <v>1.1956993801940327E+31</v>
      </c>
      <c r="RII28" s="613">
        <f t="shared" ref="RII28" si="6228">RIG$28*$C$28</f>
        <v>1.2076563739959731E+31</v>
      </c>
      <c r="RIK28" s="613">
        <f t="shared" ref="RIK28" si="6229">RII$28*$C$28</f>
        <v>1.2197329377359328E+31</v>
      </c>
      <c r="RIM28" s="613">
        <f t="shared" ref="RIM28" si="6230">RIK$28*$C$28</f>
        <v>1.2319302671132922E+31</v>
      </c>
      <c r="RIO28" s="613">
        <f t="shared" ref="RIO28" si="6231">RIM$28*$C$28</f>
        <v>1.2442495697844251E+31</v>
      </c>
      <c r="RIQ28" s="613">
        <f t="shared" ref="RIQ28" si="6232">RIO$28*$C$28</f>
        <v>1.2566920654822695E+31</v>
      </c>
      <c r="RIS28" s="613">
        <f t="shared" ref="RIS28" si="6233">RIQ$28*$C$28</f>
        <v>1.2692589861370921E+31</v>
      </c>
      <c r="RIU28" s="613">
        <f t="shared" ref="RIU28" si="6234">RIS$28*$C$28</f>
        <v>1.2819515759984629E+31</v>
      </c>
      <c r="RIW28" s="613">
        <f t="shared" ref="RIW28" si="6235">RIU$28*$C$28</f>
        <v>1.2947710917584476E+31</v>
      </c>
      <c r="RIY28" s="613">
        <f t="shared" ref="RIY28" si="6236">RIW$28*$C$28</f>
        <v>1.307718802676032E+31</v>
      </c>
      <c r="RJA28" s="613">
        <f t="shared" ref="RJA28" si="6237">RIY$28*$C$28</f>
        <v>1.3207959907027923E+31</v>
      </c>
      <c r="RJC28" s="613">
        <f t="shared" ref="RJC28" si="6238">RJA$28*$C$28</f>
        <v>1.3340039506098202E+31</v>
      </c>
      <c r="RJE28" s="613">
        <f t="shared" ref="RJE28" si="6239">RJC$28*$C$28</f>
        <v>1.3473439901159185E+31</v>
      </c>
      <c r="RJG28" s="613">
        <f t="shared" ref="RJG28" si="6240">RJE$28*$C$28</f>
        <v>1.3608174300170777E+31</v>
      </c>
      <c r="RJI28" s="613">
        <f t="shared" ref="RJI28" si="6241">RJG$28*$C$28</f>
        <v>1.3744256043172485E+31</v>
      </c>
      <c r="RJK28" s="613">
        <f t="shared" ref="RJK28" si="6242">RJI$28*$C$28</f>
        <v>1.388169860360421E+31</v>
      </c>
      <c r="RJM28" s="613">
        <f t="shared" ref="RJM28" si="6243">RJK$28*$C$28</f>
        <v>1.4020515589640251E+31</v>
      </c>
      <c r="RJO28" s="613">
        <f t="shared" ref="RJO28" si="6244">RJM$28*$C$28</f>
        <v>1.4160720745536653E+31</v>
      </c>
      <c r="RJQ28" s="613">
        <f t="shared" ref="RJQ28" si="6245">RJO$28*$C$28</f>
        <v>1.4302327952992021E+31</v>
      </c>
      <c r="RJS28" s="613">
        <f t="shared" ref="RJS28" si="6246">RJQ$28*$C$28</f>
        <v>1.4445351232521941E+31</v>
      </c>
      <c r="RJU28" s="613">
        <f t="shared" ref="RJU28" si="6247">RJS$28*$C$28</f>
        <v>1.4589804744847161E+31</v>
      </c>
      <c r="RJW28" s="613">
        <f t="shared" ref="RJW28" si="6248">RJU$28*$C$28</f>
        <v>1.4735702792295633E+31</v>
      </c>
      <c r="RJY28" s="613">
        <f t="shared" ref="RJY28" si="6249">RJW$28*$C$28</f>
        <v>1.4883059820218589E+31</v>
      </c>
      <c r="RKA28" s="613">
        <f t="shared" ref="RKA28" si="6250">RJY$28*$C$28</f>
        <v>1.5031890418420775E+31</v>
      </c>
      <c r="RKC28" s="613">
        <f t="shared" ref="RKC28" si="6251">RKA$28*$C$28</f>
        <v>1.5182209322604982E+31</v>
      </c>
      <c r="RKE28" s="613">
        <f t="shared" ref="RKE28" si="6252">RKC$28*$C$28</f>
        <v>1.5334031415831032E+31</v>
      </c>
      <c r="RKG28" s="613">
        <f t="shared" ref="RKG28" si="6253">RKE$28*$C$28</f>
        <v>1.5487371729989342E+31</v>
      </c>
      <c r="RKI28" s="613">
        <f t="shared" ref="RKI28" si="6254">RKG$28*$C$28</f>
        <v>1.5642245447289236E+31</v>
      </c>
      <c r="RKK28" s="613">
        <f t="shared" ref="RKK28" si="6255">RKI$28*$C$28</f>
        <v>1.5798667901762128E+31</v>
      </c>
      <c r="RKM28" s="613">
        <f t="shared" ref="RKM28" si="6256">RKK$28*$C$28</f>
        <v>1.5956654580779749E+31</v>
      </c>
      <c r="RKO28" s="613">
        <f t="shared" ref="RKO28" si="6257">RKM$28*$C$28</f>
        <v>1.6116221126587548E+31</v>
      </c>
      <c r="RKQ28" s="613">
        <f t="shared" ref="RKQ28" si="6258">RKO$28*$C$28</f>
        <v>1.6277383337853424E+31</v>
      </c>
      <c r="RKS28" s="613">
        <f t="shared" ref="RKS28" si="6259">RKQ$28*$C$28</f>
        <v>1.6440157171231958E+31</v>
      </c>
      <c r="RKU28" s="613">
        <f t="shared" ref="RKU28" si="6260">RKS$28*$C$28</f>
        <v>1.6604558742944277E+31</v>
      </c>
      <c r="RKW28" s="613">
        <f t="shared" ref="RKW28" si="6261">RKU$28*$C$28</f>
        <v>1.677060433037372E+31</v>
      </c>
      <c r="RKY28" s="613">
        <f t="shared" ref="RKY28" si="6262">RKW$28*$C$28</f>
        <v>1.6938310373677458E+31</v>
      </c>
      <c r="RLA28" s="613">
        <f t="shared" ref="RLA28" si="6263">RKY$28*$C$28</f>
        <v>1.7107693477414231E+31</v>
      </c>
      <c r="RLC28" s="613">
        <f t="shared" ref="RLC28" si="6264">RLA$28*$C$28</f>
        <v>1.7278770412188375E+31</v>
      </c>
      <c r="RLE28" s="613">
        <f t="shared" ref="RLE28" si="6265">RLC$28*$C$28</f>
        <v>1.7451558116310259E+31</v>
      </c>
      <c r="RLG28" s="613">
        <f t="shared" ref="RLG28" si="6266">RLE$28*$C$28</f>
        <v>1.7626073697473362E+31</v>
      </c>
      <c r="RLI28" s="613">
        <f t="shared" ref="RLI28" si="6267">RLG$28*$C$28</f>
        <v>1.7802334434448095E+31</v>
      </c>
      <c r="RLK28" s="613">
        <f t="shared" ref="RLK28" si="6268">RLI$28*$C$28</f>
        <v>1.7980357778792576E+31</v>
      </c>
      <c r="RLM28" s="613">
        <f t="shared" ref="RLM28" si="6269">RLK$28*$C$28</f>
        <v>1.8160161356580501E+31</v>
      </c>
      <c r="RLO28" s="613">
        <f t="shared" ref="RLO28" si="6270">RLM$28*$C$28</f>
        <v>1.8341762970146307E+31</v>
      </c>
      <c r="RLQ28" s="613">
        <f t="shared" ref="RLQ28" si="6271">RLO$28*$C$28</f>
        <v>1.852518059984777E+31</v>
      </c>
      <c r="RLS28" s="613">
        <f t="shared" ref="RLS28" si="6272">RLQ$28*$C$28</f>
        <v>1.8710432405846247E+31</v>
      </c>
      <c r="RLU28" s="613">
        <f t="shared" ref="RLU28" si="6273">RLS$28*$C$28</f>
        <v>1.889753672990471E+31</v>
      </c>
      <c r="RLW28" s="613">
        <f t="shared" ref="RLW28" si="6274">RLU$28*$C$28</f>
        <v>1.9086512097203757E+31</v>
      </c>
      <c r="RLY28" s="613">
        <f t="shared" ref="RLY28" si="6275">RLW$28*$C$28</f>
        <v>1.9277377218175795E+31</v>
      </c>
      <c r="RMA28" s="613">
        <f t="shared" ref="RMA28" si="6276">RLY$28*$C$28</f>
        <v>1.9470150990357553E+31</v>
      </c>
      <c r="RMC28" s="613">
        <f t="shared" ref="RMC28" si="6277">RMA$28*$C$28</f>
        <v>1.9664852500261129E+31</v>
      </c>
      <c r="RME28" s="613">
        <f t="shared" ref="RME28" si="6278">RMC$28*$C$28</f>
        <v>1.986150102526374E+31</v>
      </c>
      <c r="RMG28" s="613">
        <f t="shared" ref="RMG28" si="6279">RME$28*$C$28</f>
        <v>2.0060116035516378E+31</v>
      </c>
      <c r="RMI28" s="613">
        <f t="shared" ref="RMI28" si="6280">RMG$28*$C$28</f>
        <v>2.0260717195871541E+31</v>
      </c>
      <c r="RMK28" s="613">
        <f t="shared" ref="RMK28" si="6281">RMI$28*$C$28</f>
        <v>2.0463324367830255E+31</v>
      </c>
      <c r="RMM28" s="613">
        <f t="shared" ref="RMM28" si="6282">RMK$28*$C$28</f>
        <v>2.0667957611508556E+31</v>
      </c>
      <c r="RMO28" s="613">
        <f t="shared" ref="RMO28" si="6283">RMM$28*$C$28</f>
        <v>2.0874637187623641E+31</v>
      </c>
      <c r="RMQ28" s="613">
        <f t="shared" ref="RMQ28" si="6284">RMO$28*$C$28</f>
        <v>2.1083383559499879E+31</v>
      </c>
      <c r="RMS28" s="613">
        <f t="shared" ref="RMS28" si="6285">RMQ$28*$C$28</f>
        <v>2.129421739509488E+31</v>
      </c>
      <c r="RMU28" s="613">
        <f t="shared" ref="RMU28" si="6286">RMS$28*$C$28</f>
        <v>2.150715956904583E+31</v>
      </c>
      <c r="RMW28" s="613">
        <f t="shared" ref="RMW28" si="6287">RMU$28*$C$28</f>
        <v>2.1722231164736289E+31</v>
      </c>
      <c r="RMY28" s="613">
        <f t="shared" ref="RMY28" si="6288">RMW$28*$C$28</f>
        <v>2.1939453476383653E+31</v>
      </c>
      <c r="RNA28" s="613">
        <f t="shared" ref="RNA28" si="6289">RMY$28*$C$28</f>
        <v>2.2158848011147489E+31</v>
      </c>
      <c r="RNC28" s="613">
        <f t="shared" ref="RNC28" si="6290">RNA$28*$C$28</f>
        <v>2.2380436491258966E+31</v>
      </c>
      <c r="RNE28" s="613">
        <f t="shared" ref="RNE28" si="6291">RNC$28*$C$28</f>
        <v>2.2604240856171558E+31</v>
      </c>
      <c r="RNG28" s="613">
        <f t="shared" ref="RNG28" si="6292">RNE$28*$C$28</f>
        <v>2.2830283264733275E+31</v>
      </c>
      <c r="RNI28" s="613">
        <f t="shared" ref="RNI28" si="6293">RNG$28*$C$28</f>
        <v>2.305858609738061E+31</v>
      </c>
      <c r="RNK28" s="613">
        <f t="shared" ref="RNK28" si="6294">RNI$28*$C$28</f>
        <v>2.3289171958354416E+31</v>
      </c>
      <c r="RNM28" s="613">
        <f t="shared" ref="RNM28" si="6295">RNK$28*$C$28</f>
        <v>2.3522063677937959E+31</v>
      </c>
      <c r="RNO28" s="613">
        <f t="shared" ref="RNO28" si="6296">RNM$28*$C$28</f>
        <v>2.375728431471734E+31</v>
      </c>
      <c r="RNQ28" s="613">
        <f t="shared" ref="RNQ28" si="6297">RNO$28*$C$28</f>
        <v>2.3994857157864516E+31</v>
      </c>
      <c r="RNS28" s="613">
        <f t="shared" ref="RNS28" si="6298">RNQ$28*$C$28</f>
        <v>2.4234805729443162E+31</v>
      </c>
      <c r="RNU28" s="613">
        <f t="shared" ref="RNU28" si="6299">RNS$28*$C$28</f>
        <v>2.4477153786737594E+31</v>
      </c>
      <c r="RNW28" s="613">
        <f t="shared" ref="RNW28" si="6300">RNU$28*$C$28</f>
        <v>2.472192532460497E+31</v>
      </c>
      <c r="RNY28" s="613">
        <f t="shared" ref="RNY28" si="6301">RNW$28*$C$28</f>
        <v>2.4969144577851018E+31</v>
      </c>
      <c r="ROA28" s="613">
        <f t="shared" ref="ROA28" si="6302">RNY$28*$C$28</f>
        <v>2.5218836023629528E+31</v>
      </c>
      <c r="ROC28" s="613">
        <f t="shared" ref="ROC28" si="6303">ROA$28*$C$28</f>
        <v>2.5471024383865825E+31</v>
      </c>
      <c r="ROE28" s="613">
        <f t="shared" ref="ROE28" si="6304">ROC$28*$C$28</f>
        <v>2.5725734627704482E+31</v>
      </c>
      <c r="ROG28" s="613">
        <f t="shared" ref="ROG28" si="6305">ROE$28*$C$28</f>
        <v>2.5982991973981525E+31</v>
      </c>
      <c r="ROI28" s="613">
        <f t="shared" ref="ROI28" si="6306">ROG$28*$C$28</f>
        <v>2.624282189372134E+31</v>
      </c>
      <c r="ROK28" s="613">
        <f t="shared" ref="ROK28" si="6307">ROI$28*$C$28</f>
        <v>2.6505250112658553E+31</v>
      </c>
      <c r="ROM28" s="613">
        <f t="shared" ref="ROM28" si="6308">ROK$28*$C$28</f>
        <v>2.6770302613785138E+31</v>
      </c>
      <c r="ROO28" s="613">
        <f t="shared" ref="ROO28" si="6309">ROM$28*$C$28</f>
        <v>2.7038005639922992E+31</v>
      </c>
      <c r="ROQ28" s="613">
        <f t="shared" ref="ROQ28" si="6310">ROO$28*$C$28</f>
        <v>2.7308385696322223E+31</v>
      </c>
      <c r="ROS28" s="613">
        <f t="shared" ref="ROS28" si="6311">ROQ$28*$C$28</f>
        <v>2.7581469553285443E+31</v>
      </c>
      <c r="ROU28" s="613">
        <f t="shared" ref="ROU28" si="6312">ROS$28*$C$28</f>
        <v>2.78572842488183E+31</v>
      </c>
      <c r="ROW28" s="613">
        <f t="shared" ref="ROW28" si="6313">ROU$28*$C$28</f>
        <v>2.8135857091306485E+31</v>
      </c>
      <c r="ROY28" s="613">
        <f t="shared" ref="ROY28" si="6314">ROW$28*$C$28</f>
        <v>2.841721566221955E+31</v>
      </c>
      <c r="RPA28" s="613">
        <f t="shared" ref="RPA28" si="6315">ROY$28*$C$28</f>
        <v>2.8701387818841748E+31</v>
      </c>
      <c r="RPC28" s="613">
        <f t="shared" ref="RPC28" si="6316">RPA$28*$C$28</f>
        <v>2.8988401697030165E+31</v>
      </c>
      <c r="RPE28" s="613">
        <f t="shared" ref="RPE28" si="6317">RPC$28*$C$28</f>
        <v>2.9278285714000468E+31</v>
      </c>
      <c r="RPG28" s="613">
        <f t="shared" ref="RPG28" si="6318">RPE$28*$C$28</f>
        <v>2.9571068571140471E+31</v>
      </c>
      <c r="RPI28" s="613">
        <f t="shared" ref="RPI28" si="6319">RPG$28*$C$28</f>
        <v>2.9866779256851876E+31</v>
      </c>
      <c r="RPK28" s="613">
        <f t="shared" ref="RPK28" si="6320">RPI$28*$C$28</f>
        <v>3.0165447049420395E+31</v>
      </c>
      <c r="RPM28" s="613">
        <f t="shared" ref="RPM28" si="6321">RPK$28*$C$28</f>
        <v>3.0467101519914599E+31</v>
      </c>
      <c r="RPO28" s="613">
        <f t="shared" ref="RPO28" si="6322">RPM$28*$C$28</f>
        <v>3.0771772535113747E+31</v>
      </c>
      <c r="RPQ28" s="613">
        <f t="shared" ref="RPQ28" si="6323">RPO$28*$C$28</f>
        <v>3.1079490260464886E+31</v>
      </c>
      <c r="RPS28" s="613">
        <f t="shared" ref="RPS28" si="6324">RPQ$28*$C$28</f>
        <v>3.1390285163069536E+31</v>
      </c>
      <c r="RPU28" s="613">
        <f t="shared" ref="RPU28" si="6325">RPS$28*$C$28</f>
        <v>3.1704188014700233E+31</v>
      </c>
      <c r="RPW28" s="613">
        <f t="shared" ref="RPW28" si="6326">RPU$28*$C$28</f>
        <v>3.2021229894847234E+31</v>
      </c>
      <c r="RPY28" s="613">
        <f t="shared" ref="RPY28" si="6327">RPW$28*$C$28</f>
        <v>3.2341442193795709E+31</v>
      </c>
      <c r="RQA28" s="613">
        <f t="shared" ref="RQA28" si="6328">RPY$28*$C$28</f>
        <v>3.2664856615733666E+31</v>
      </c>
      <c r="RQC28" s="613">
        <f t="shared" ref="RQC28" si="6329">RQA$28*$C$28</f>
        <v>3.2991505181891003E+31</v>
      </c>
      <c r="RQE28" s="613">
        <f t="shared" ref="RQE28" si="6330">RQC$28*$C$28</f>
        <v>3.3321420233709913E+31</v>
      </c>
      <c r="RQG28" s="613">
        <f t="shared" ref="RQG28" si="6331">RQE$28*$C$28</f>
        <v>3.3654634436047014E+31</v>
      </c>
      <c r="RQI28" s="613">
        <f t="shared" ref="RQI28" si="6332">RQG$28*$C$28</f>
        <v>3.3991180780407483E+31</v>
      </c>
      <c r="RQK28" s="613">
        <f t="shared" ref="RQK28" si="6333">RQI$28*$C$28</f>
        <v>3.4331092588211558E+31</v>
      </c>
      <c r="RQM28" s="613">
        <f t="shared" ref="RQM28" si="6334">RQK$28*$C$28</f>
        <v>3.4674403514093674E+31</v>
      </c>
      <c r="RQO28" s="613">
        <f t="shared" ref="RQO28" si="6335">RQM$28*$C$28</f>
        <v>3.5021147549234613E+31</v>
      </c>
      <c r="RQQ28" s="613">
        <f t="shared" ref="RQQ28" si="6336">RQO$28*$C$28</f>
        <v>3.5371359024726958E+31</v>
      </c>
      <c r="RQS28" s="613">
        <f t="shared" ref="RQS28" si="6337">RQQ$28*$C$28</f>
        <v>3.5725072614974225E+31</v>
      </c>
      <c r="RQU28" s="613">
        <f t="shared" ref="RQU28" si="6338">RQS$28*$C$28</f>
        <v>3.6082323341123967E+31</v>
      </c>
      <c r="RQW28" s="613">
        <f t="shared" ref="RQW28" si="6339">RQU$28*$C$28</f>
        <v>3.6443146574535207E+31</v>
      </c>
      <c r="RQY28" s="613">
        <f t="shared" ref="RQY28" si="6340">RQW$28*$C$28</f>
        <v>3.680757804028056E+31</v>
      </c>
      <c r="RRA28" s="613">
        <f t="shared" ref="RRA28" si="6341">RQY$28*$C$28</f>
        <v>3.7175653820683367E+31</v>
      </c>
      <c r="RRC28" s="613">
        <f t="shared" ref="RRC28" si="6342">RRA$28*$C$28</f>
        <v>3.7547410358890202E+31</v>
      </c>
      <c r="RRE28" s="613">
        <f t="shared" ref="RRE28" si="6343">RRC$28*$C$28</f>
        <v>3.7922884462479104E+31</v>
      </c>
      <c r="RRG28" s="613">
        <f t="shared" ref="RRG28" si="6344">RRE$28*$C$28</f>
        <v>3.8302113307103896E+31</v>
      </c>
      <c r="RRI28" s="613">
        <f t="shared" ref="RRI28" si="6345">RRG$28*$C$28</f>
        <v>3.8685134440174937E+31</v>
      </c>
      <c r="RRK28" s="613">
        <f t="shared" ref="RRK28" si="6346">RRI$28*$C$28</f>
        <v>3.9071985784576687E+31</v>
      </c>
      <c r="RRM28" s="613">
        <f t="shared" ref="RRM28" si="6347">RRK$28*$C$28</f>
        <v>3.9462705642422456E+31</v>
      </c>
      <c r="RRO28" s="613">
        <f t="shared" ref="RRO28" si="6348">RRM$28*$C$28</f>
        <v>3.985733269884668E+31</v>
      </c>
      <c r="RRQ28" s="613">
        <f t="shared" ref="RRQ28" si="6349">RRO$28*$C$28</f>
        <v>4.025590602583515E+31</v>
      </c>
      <c r="RRS28" s="613">
        <f t="shared" ref="RRS28" si="6350">RRQ$28*$C$28</f>
        <v>4.0658465086093499E+31</v>
      </c>
      <c r="RRU28" s="613">
        <f t="shared" ref="RRU28" si="6351">RRS$28*$C$28</f>
        <v>4.1065049736954433E+31</v>
      </c>
      <c r="RRW28" s="613">
        <f t="shared" ref="RRW28" si="6352">RRU$28*$C$28</f>
        <v>4.1475700234323977E+31</v>
      </c>
      <c r="RRY28" s="613">
        <f t="shared" ref="RRY28" si="6353">RRW$28*$C$28</f>
        <v>4.1890457236667222E+31</v>
      </c>
      <c r="RSA28" s="613">
        <f t="shared" ref="RSA28" si="6354">RRY$28*$C$28</f>
        <v>4.2309361809033899E+31</v>
      </c>
      <c r="RSC28" s="613">
        <f t="shared" ref="RSC28" si="6355">RSA$28*$C$28</f>
        <v>4.2732455427124241E+31</v>
      </c>
      <c r="RSE28" s="613">
        <f t="shared" ref="RSE28" si="6356">RSC$28*$C$28</f>
        <v>4.3159779981395487E+31</v>
      </c>
      <c r="RSG28" s="613">
        <f t="shared" ref="RSG28" si="6357">RSE$28*$C$28</f>
        <v>4.359137778120944E+31</v>
      </c>
      <c r="RSI28" s="613">
        <f t="shared" ref="RSI28" si="6358">RSG$28*$C$28</f>
        <v>4.4027291559021533E+31</v>
      </c>
      <c r="RSK28" s="613">
        <f t="shared" ref="RSK28" si="6359">RSI$28*$C$28</f>
        <v>4.4467564474611753E+31</v>
      </c>
      <c r="RSM28" s="613">
        <f t="shared" ref="RSM28" si="6360">RSK$28*$C$28</f>
        <v>4.4912240119357874E+31</v>
      </c>
      <c r="RSO28" s="613">
        <f t="shared" ref="RSO28" si="6361">RSM$28*$C$28</f>
        <v>4.5361362520551454E+31</v>
      </c>
      <c r="RSQ28" s="613">
        <f t="shared" ref="RSQ28" si="6362">RSO$28*$C$28</f>
        <v>4.581497614575697E+31</v>
      </c>
      <c r="RSS28" s="613">
        <f t="shared" ref="RSS28" si="6363">RSQ$28*$C$28</f>
        <v>4.6273125907214542E+31</v>
      </c>
      <c r="RSU28" s="613">
        <f t="shared" ref="RSU28" si="6364">RSS$28*$C$28</f>
        <v>4.6735857166286684E+31</v>
      </c>
      <c r="RSW28" s="613">
        <f t="shared" ref="RSW28" si="6365">RSU$28*$C$28</f>
        <v>4.720321573794955E+31</v>
      </c>
      <c r="RSY28" s="613">
        <f t="shared" ref="RSY28" si="6366">RSW$28*$C$28</f>
        <v>4.7675247895329044E+31</v>
      </c>
      <c r="RTA28" s="613">
        <f t="shared" ref="RTA28" si="6367">RSY$28*$C$28</f>
        <v>4.8152000374282332E+31</v>
      </c>
      <c r="RTC28" s="613">
        <f t="shared" ref="RTC28" si="6368">RTA$28*$C$28</f>
        <v>4.8633520378025151E+31</v>
      </c>
      <c r="RTE28" s="613">
        <f t="shared" ref="RTE28" si="6369">RTC$28*$C$28</f>
        <v>4.91198555818054E+31</v>
      </c>
      <c r="RTG28" s="613">
        <f t="shared" ref="RTG28" si="6370">RTE$28*$C$28</f>
        <v>4.9611054137623456E+31</v>
      </c>
      <c r="RTI28" s="613">
        <f t="shared" ref="RTI28" si="6371">RTG$28*$C$28</f>
        <v>5.0107164678999693E+31</v>
      </c>
      <c r="RTK28" s="613">
        <f t="shared" ref="RTK28" si="6372">RTI$28*$C$28</f>
        <v>5.0608236325789691E+31</v>
      </c>
      <c r="RTM28" s="613">
        <f t="shared" ref="RTM28" si="6373">RTK$28*$C$28</f>
        <v>5.1114318689047588E+31</v>
      </c>
      <c r="RTO28" s="613">
        <f t="shared" ref="RTO28" si="6374">RTM$28*$C$28</f>
        <v>5.1625461875938068E+31</v>
      </c>
      <c r="RTQ28" s="613">
        <f t="shared" ref="RTQ28" si="6375">RTO$28*$C$28</f>
        <v>5.2141716494697452E+31</v>
      </c>
      <c r="RTS28" s="613">
        <f t="shared" ref="RTS28" si="6376">RTQ$28*$C$28</f>
        <v>5.2663133659644423E+31</v>
      </c>
      <c r="RTU28" s="613">
        <f t="shared" ref="RTU28" si="6377">RTS$28*$C$28</f>
        <v>5.3189764996240864E+31</v>
      </c>
      <c r="RTW28" s="613">
        <f t="shared" ref="RTW28" si="6378">RTU$28*$C$28</f>
        <v>5.3721662646203274E+31</v>
      </c>
      <c r="RTY28" s="613">
        <f t="shared" ref="RTY28" si="6379">RTW$28*$C$28</f>
        <v>5.4258879272665306E+31</v>
      </c>
      <c r="RUA28" s="613">
        <f t="shared" ref="RUA28" si="6380">RTY$28*$C$28</f>
        <v>5.4801468065391962E+31</v>
      </c>
      <c r="RUC28" s="613">
        <f t="shared" ref="RUC28" si="6381">RUA$28*$C$28</f>
        <v>5.5349482746045878E+31</v>
      </c>
      <c r="RUE28" s="613">
        <f t="shared" ref="RUE28" si="6382">RUC$28*$C$28</f>
        <v>5.5902977573506337E+31</v>
      </c>
      <c r="RUG28" s="613">
        <f t="shared" ref="RUG28" si="6383">RUE$28*$C$28</f>
        <v>5.6462007349241405E+31</v>
      </c>
      <c r="RUI28" s="613">
        <f t="shared" ref="RUI28" si="6384">RUG$28*$C$28</f>
        <v>5.7026627422733823E+31</v>
      </c>
      <c r="RUK28" s="613">
        <f t="shared" ref="RUK28" si="6385">RUI$28*$C$28</f>
        <v>5.7596893696961157E+31</v>
      </c>
      <c r="RUM28" s="613">
        <f t="shared" ref="RUM28" si="6386">RUK$28*$C$28</f>
        <v>5.817286263393077E+31</v>
      </c>
      <c r="RUO28" s="613">
        <f t="shared" ref="RUO28" si="6387">RUM$28*$C$28</f>
        <v>5.8754591260270074E+31</v>
      </c>
      <c r="RUQ28" s="613">
        <f t="shared" ref="RUQ28" si="6388">RUO$28*$C$28</f>
        <v>5.9342137172872777E+31</v>
      </c>
      <c r="RUS28" s="613">
        <f t="shared" ref="RUS28" si="6389">RUQ$28*$C$28</f>
        <v>5.9935558544601507E+31</v>
      </c>
      <c r="RUU28" s="613">
        <f t="shared" ref="RUU28" si="6390">RUS$28*$C$28</f>
        <v>6.0534914130047525E+31</v>
      </c>
      <c r="RUW28" s="613">
        <f t="shared" ref="RUW28" si="6391">RUU$28*$C$28</f>
        <v>6.1140263271348005E+31</v>
      </c>
      <c r="RUY28" s="613">
        <f t="shared" ref="RUY28" si="6392">RUW$28*$C$28</f>
        <v>6.1751665904061482E+31</v>
      </c>
      <c r="RVA28" s="613">
        <f t="shared" ref="RVA28" si="6393">RUY$28*$C$28</f>
        <v>6.2369182563102094E+31</v>
      </c>
      <c r="RVC28" s="613">
        <f t="shared" ref="RVC28" si="6394">RVA$28*$C$28</f>
        <v>6.2992874388733117E+31</v>
      </c>
      <c r="RVE28" s="613">
        <f t="shared" ref="RVE28" si="6395">RVC$28*$C$28</f>
        <v>6.362280313262045E+31</v>
      </c>
      <c r="RVG28" s="613">
        <f t="shared" ref="RVG28" si="6396">RVE$28*$C$28</f>
        <v>6.4259031163946656E+31</v>
      </c>
      <c r="RVI28" s="613">
        <f t="shared" ref="RVI28" si="6397">RVG$28*$C$28</f>
        <v>6.4901621475586122E+31</v>
      </c>
      <c r="RVK28" s="613">
        <f t="shared" ref="RVK28" si="6398">RVI$28*$C$28</f>
        <v>6.5550637690341981E+31</v>
      </c>
      <c r="RVM28" s="613">
        <f t="shared" ref="RVM28" si="6399">RVK$28*$C$28</f>
        <v>6.6206144067245399E+31</v>
      </c>
      <c r="RVO28" s="613">
        <f t="shared" ref="RVO28" si="6400">RVM$28*$C$28</f>
        <v>6.6868205507917852E+31</v>
      </c>
      <c r="RVQ28" s="613">
        <f t="shared" ref="RVQ28" si="6401">RVO$28*$C$28</f>
        <v>6.753688756299703E+31</v>
      </c>
      <c r="RVS28" s="613">
        <f t="shared" ref="RVS28" si="6402">RVQ$28*$C$28</f>
        <v>6.8212256438627003E+31</v>
      </c>
      <c r="RVU28" s="613">
        <f t="shared" ref="RVU28" si="6403">RVS$28*$C$28</f>
        <v>6.8894379003013271E+31</v>
      </c>
      <c r="RVW28" s="613">
        <f t="shared" ref="RVW28" si="6404">RVU$28*$C$28</f>
        <v>6.9583322793043401E+31</v>
      </c>
      <c r="RVY28" s="613">
        <f t="shared" ref="RVY28" si="6405">RVW$28*$C$28</f>
        <v>7.0279156020973833E+31</v>
      </c>
      <c r="RWA28" s="613">
        <f t="shared" ref="RWA28" si="6406">RVY$28*$C$28</f>
        <v>7.0981947581183572E+31</v>
      </c>
      <c r="RWC28" s="613">
        <f t="shared" ref="RWC28" si="6407">RWA$28*$C$28</f>
        <v>7.1691767056995409E+31</v>
      </c>
      <c r="RWE28" s="613">
        <f t="shared" ref="RWE28" si="6408">RWC$28*$C$28</f>
        <v>7.2408684727565366E+31</v>
      </c>
      <c r="RWG28" s="613">
        <f t="shared" ref="RWG28" si="6409">RWE$28*$C$28</f>
        <v>7.313277157484102E+31</v>
      </c>
      <c r="RWI28" s="613">
        <f t="shared" ref="RWI28" si="6410">RWG$28*$C$28</f>
        <v>7.3864099290589433E+31</v>
      </c>
      <c r="RWK28" s="613">
        <f t="shared" ref="RWK28" si="6411">RWI$28*$C$28</f>
        <v>7.4602740283495327E+31</v>
      </c>
      <c r="RWM28" s="613">
        <f t="shared" ref="RWM28" si="6412">RWK$28*$C$28</f>
        <v>7.5348767686330278E+31</v>
      </c>
      <c r="RWO28" s="613">
        <f t="shared" ref="RWO28" si="6413">RWM$28*$C$28</f>
        <v>7.6102255363193582E+31</v>
      </c>
      <c r="RWQ28" s="613">
        <f t="shared" ref="RWQ28" si="6414">RWO$28*$C$28</f>
        <v>7.686327791682552E+31</v>
      </c>
      <c r="RWS28" s="613">
        <f t="shared" ref="RWS28" si="6415">RWQ$28*$C$28</f>
        <v>7.7631910695993775E+31</v>
      </c>
      <c r="RWU28" s="613">
        <f t="shared" ref="RWU28" si="6416">RWS$28*$C$28</f>
        <v>7.840822980295371E+31</v>
      </c>
      <c r="RWW28" s="613">
        <f t="shared" ref="RWW28" si="6417">RWU$28*$C$28</f>
        <v>7.9192312100983251E+31</v>
      </c>
      <c r="RWY28" s="613">
        <f t="shared" ref="RWY28" si="6418">RWW$28*$C$28</f>
        <v>7.9984235221993083E+31</v>
      </c>
      <c r="RXA28" s="613">
        <f t="shared" ref="RXA28" si="6419">RWY$28*$C$28</f>
        <v>8.0784077574213013E+31</v>
      </c>
      <c r="RXC28" s="613">
        <f t="shared" ref="RXC28" si="6420">RXA$28*$C$28</f>
        <v>8.1591918349955152E+31</v>
      </c>
      <c r="RXE28" s="613">
        <f t="shared" ref="RXE28" si="6421">RXC$28*$C$28</f>
        <v>8.2407837533454703E+31</v>
      </c>
      <c r="RXG28" s="613">
        <f t="shared" ref="RXG28" si="6422">RXE$28*$C$28</f>
        <v>8.3231915908789245E+31</v>
      </c>
      <c r="RXI28" s="613">
        <f t="shared" ref="RXI28" si="6423">RXG$28*$C$28</f>
        <v>8.4064235067877131E+31</v>
      </c>
      <c r="RXK28" s="613">
        <f t="shared" ref="RXK28" si="6424">RXI$28*$C$28</f>
        <v>8.4904877418555896E+31</v>
      </c>
      <c r="RXM28" s="613">
        <f t="shared" ref="RXM28" si="6425">RXK$28*$C$28</f>
        <v>8.5753926192741461E+31</v>
      </c>
      <c r="RXO28" s="613">
        <f t="shared" ref="RXO28" si="6426">RXM$28*$C$28</f>
        <v>8.6611465454668877E+31</v>
      </c>
      <c r="RXQ28" s="613">
        <f t="shared" ref="RXQ28" si="6427">RXO$28*$C$28</f>
        <v>8.7477580109215568E+31</v>
      </c>
      <c r="RXS28" s="613">
        <f t="shared" ref="RXS28" si="6428">RXQ$28*$C$28</f>
        <v>8.8352355910307717E+31</v>
      </c>
      <c r="RXU28" s="613">
        <f t="shared" ref="RXU28" si="6429">RXS$28*$C$28</f>
        <v>8.9235879469410793E+31</v>
      </c>
      <c r="RXW28" s="613">
        <f t="shared" ref="RXW28" si="6430">RXU$28*$C$28</f>
        <v>9.0128238264104909E+31</v>
      </c>
      <c r="RXY28" s="613">
        <f t="shared" ref="RXY28" si="6431">RXW$28*$C$28</f>
        <v>9.1029520646745964E+31</v>
      </c>
      <c r="RYA28" s="613">
        <f t="shared" ref="RYA28" si="6432">RXY$28*$C$28</f>
        <v>9.193981585321342E+31</v>
      </c>
      <c r="RYC28" s="613">
        <f t="shared" ref="RYC28" si="6433">RYA$28*$C$28</f>
        <v>9.2859214011745549E+31</v>
      </c>
      <c r="RYE28" s="613">
        <f t="shared" ref="RYE28" si="6434">RYC$28*$C$28</f>
        <v>9.3787806151862997E+31</v>
      </c>
      <c r="RYG28" s="613">
        <f t="shared" ref="RYG28" si="6435">RYE$28*$C$28</f>
        <v>9.4725684213381634E+31</v>
      </c>
      <c r="RYI28" s="613">
        <f t="shared" ref="RYI28" si="6436">RYG$28*$C$28</f>
        <v>9.567294105551545E+31</v>
      </c>
      <c r="RYK28" s="613">
        <f t="shared" ref="RYK28" si="6437">RYI$28*$C$28</f>
        <v>9.6629670466070599E+31</v>
      </c>
      <c r="RYM28" s="613">
        <f t="shared" ref="RYM28" si="6438">RYK$28*$C$28</f>
        <v>9.7595967170731313E+31</v>
      </c>
      <c r="RYO28" s="613">
        <f t="shared" ref="RYO28" si="6439">RYM$28*$C$28</f>
        <v>9.8571926842438619E+31</v>
      </c>
      <c r="RYQ28" s="613">
        <f t="shared" ref="RYQ28" si="6440">RYO$28*$C$28</f>
        <v>9.9557646110863007E+31</v>
      </c>
      <c r="RYS28" s="613">
        <f t="shared" ref="RYS28" si="6441">RYQ$28*$C$28</f>
        <v>1.0055322257197164E+32</v>
      </c>
      <c r="RYU28" s="613">
        <f t="shared" ref="RYU28" si="6442">RYS$28*$C$28</f>
        <v>1.0155875479769137E+32</v>
      </c>
      <c r="RYW28" s="613">
        <f t="shared" ref="RYW28" si="6443">RYU$28*$C$28</f>
        <v>1.0257434234566829E+32</v>
      </c>
      <c r="RYY28" s="613">
        <f t="shared" ref="RYY28" si="6444">RYW$28*$C$28</f>
        <v>1.0360008576912497E+32</v>
      </c>
      <c r="RZA28" s="613">
        <f t="shared" ref="RZA28" si="6445">RYY$28*$C$28</f>
        <v>1.0463608662681622E+32</v>
      </c>
      <c r="RZC28" s="613">
        <f t="shared" ref="RZC28" si="6446">RZA$28*$C$28</f>
        <v>1.0568244749308439E+32</v>
      </c>
      <c r="RZE28" s="613">
        <f t="shared" ref="RZE28" si="6447">RZC$28*$C$28</f>
        <v>1.0673927196801524E+32</v>
      </c>
      <c r="RZG28" s="613">
        <f t="shared" ref="RZG28" si="6448">RZE$28*$C$28</f>
        <v>1.078066646876954E+32</v>
      </c>
      <c r="RZI28" s="613">
        <f t="shared" ref="RZI28" si="6449">RZG$28*$C$28</f>
        <v>1.0888473133457236E+32</v>
      </c>
      <c r="RZK28" s="613">
        <f t="shared" ref="RZK28" si="6450">RZI$28*$C$28</f>
        <v>1.0997357864791808E+32</v>
      </c>
      <c r="RZM28" s="613">
        <f t="shared" ref="RZM28" si="6451">RZK$28*$C$28</f>
        <v>1.1107331443439726E+32</v>
      </c>
      <c r="RZO28" s="613">
        <f t="shared" ref="RZO28" si="6452">RZM$28*$C$28</f>
        <v>1.1218404757874123E+32</v>
      </c>
      <c r="RZQ28" s="613">
        <f t="shared" ref="RZQ28" si="6453">RZO$28*$C$28</f>
        <v>1.1330588805452864E+32</v>
      </c>
      <c r="RZS28" s="613">
        <f t="shared" ref="RZS28" si="6454">RZQ$28*$C$28</f>
        <v>1.1443894693507392E+32</v>
      </c>
      <c r="RZU28" s="613">
        <f t="shared" ref="RZU28" si="6455">RZS$28*$C$28</f>
        <v>1.1558333640442467E+32</v>
      </c>
      <c r="RZW28" s="613">
        <f t="shared" ref="RZW28" si="6456">RZU$28*$C$28</f>
        <v>1.1673916976846892E+32</v>
      </c>
      <c r="RZY28" s="613">
        <f t="shared" ref="RZY28" si="6457">RZW$28*$C$28</f>
        <v>1.1790656146615362E+32</v>
      </c>
      <c r="SAA28" s="613">
        <f t="shared" ref="SAA28" si="6458">RZY$28*$C$28</f>
        <v>1.1908562708081516E+32</v>
      </c>
      <c r="SAC28" s="613">
        <f t="shared" ref="SAC28" si="6459">SAA$28*$C$28</f>
        <v>1.2027648335162331E+32</v>
      </c>
      <c r="SAE28" s="613">
        <f t="shared" ref="SAE28" si="6460">SAC$28*$C$28</f>
        <v>1.2147924818513954E+32</v>
      </c>
      <c r="SAG28" s="613">
        <f t="shared" ref="SAG28" si="6461">SAE$28*$C$28</f>
        <v>1.2269404066699094E+32</v>
      </c>
      <c r="SAI28" s="613">
        <f t="shared" ref="SAI28" si="6462">SAG$28*$C$28</f>
        <v>1.2392098107366084E+32</v>
      </c>
      <c r="SAK28" s="613">
        <f t="shared" ref="SAK28" si="6463">SAI$28*$C$28</f>
        <v>1.2516019088439745E+32</v>
      </c>
      <c r="SAM28" s="613">
        <f t="shared" ref="SAM28" si="6464">SAK$28*$C$28</f>
        <v>1.2641179279324142E+32</v>
      </c>
      <c r="SAO28" s="613">
        <f t="shared" ref="SAO28" si="6465">SAM$28*$C$28</f>
        <v>1.2767591072117385E+32</v>
      </c>
      <c r="SAQ28" s="613">
        <f t="shared" ref="SAQ28" si="6466">SAO$28*$C$28</f>
        <v>1.2895266982838559E+32</v>
      </c>
      <c r="SAS28" s="613">
        <f t="shared" ref="SAS28" si="6467">SAQ$28*$C$28</f>
        <v>1.3024219652666946E+32</v>
      </c>
      <c r="SAU28" s="613">
        <f t="shared" ref="SAU28" si="6468">SAS$28*$C$28</f>
        <v>1.3154461849193616E+32</v>
      </c>
      <c r="SAW28" s="613">
        <f t="shared" ref="SAW28" si="6469">SAU$28*$C$28</f>
        <v>1.3286006467685552E+32</v>
      </c>
      <c r="SAY28" s="613">
        <f t="shared" ref="SAY28" si="6470">SAW$28*$C$28</f>
        <v>1.3418866532362407E+32</v>
      </c>
      <c r="SBA28" s="613">
        <f t="shared" ref="SBA28" si="6471">SAY$28*$C$28</f>
        <v>1.3553055197686031E+32</v>
      </c>
      <c r="SBC28" s="613">
        <f t="shared" ref="SBC28" si="6472">SBA$28*$C$28</f>
        <v>1.368858574966289E+32</v>
      </c>
      <c r="SBE28" s="613">
        <f t="shared" ref="SBE28" si="6473">SBC$28*$C$28</f>
        <v>1.382547160715952E+32</v>
      </c>
      <c r="SBG28" s="613">
        <f t="shared" ref="SBG28" si="6474">SBE$28*$C$28</f>
        <v>1.3963726323231114E+32</v>
      </c>
      <c r="SBI28" s="613">
        <f t="shared" ref="SBI28" si="6475">SBG$28*$C$28</f>
        <v>1.4103363586463426E+32</v>
      </c>
      <c r="SBK28" s="613">
        <f t="shared" ref="SBK28" si="6476">SBI$28*$C$28</f>
        <v>1.4244397222328061E+32</v>
      </c>
      <c r="SBM28" s="613">
        <f t="shared" ref="SBM28" si="6477">SBK$28*$C$28</f>
        <v>1.4386841194551341E+32</v>
      </c>
      <c r="SBO28" s="613">
        <f t="shared" ref="SBO28" si="6478">SBM$28*$C$28</f>
        <v>1.4530709606496855E+32</v>
      </c>
      <c r="SBQ28" s="613">
        <f t="shared" ref="SBQ28" si="6479">SBO$28*$C$28</f>
        <v>1.4676016702561823E+32</v>
      </c>
      <c r="SBS28" s="613">
        <f t="shared" ref="SBS28" si="6480">SBQ$28*$C$28</f>
        <v>1.4822776869587443E+32</v>
      </c>
      <c r="SBU28" s="613">
        <f t="shared" ref="SBU28" si="6481">SBS$28*$C$28</f>
        <v>1.4971004638283317E+32</v>
      </c>
      <c r="SBW28" s="613">
        <f t="shared" ref="SBW28" si="6482">SBU$28*$C$28</f>
        <v>1.5120714684666151E+32</v>
      </c>
      <c r="SBY28" s="613">
        <f t="shared" ref="SBY28" si="6483">SBW$28*$C$28</f>
        <v>1.5271921831512812E+32</v>
      </c>
      <c r="SCA28" s="613">
        <f t="shared" ref="SCA28" si="6484">SBY$28*$C$28</f>
        <v>1.542464104982794E+32</v>
      </c>
      <c r="SCC28" s="613">
        <f t="shared" ref="SCC28" si="6485">SCA$28*$C$28</f>
        <v>1.5578887460326221E+32</v>
      </c>
      <c r="SCE28" s="613">
        <f t="shared" ref="SCE28" si="6486">SCC$28*$C$28</f>
        <v>1.5734676334929484E+32</v>
      </c>
      <c r="SCG28" s="613">
        <f t="shared" ref="SCG28" si="6487">SCE$28*$C$28</f>
        <v>1.5892023098278778E+32</v>
      </c>
      <c r="SCI28" s="613">
        <f t="shared" ref="SCI28" si="6488">SCG$28*$C$28</f>
        <v>1.6050943329261566E+32</v>
      </c>
      <c r="SCK28" s="613">
        <f t="shared" ref="SCK28" si="6489">SCI$28*$C$28</f>
        <v>1.6211452762554182E+32</v>
      </c>
      <c r="SCM28" s="613">
        <f t="shared" ref="SCM28" si="6490">SCK$28*$C$28</f>
        <v>1.6373567290179723E+32</v>
      </c>
      <c r="SCO28" s="613">
        <f t="shared" ref="SCO28" si="6491">SCM$28*$C$28</f>
        <v>1.6537302963081519E+32</v>
      </c>
      <c r="SCQ28" s="613">
        <f t="shared" ref="SCQ28" si="6492">SCO$28*$C$28</f>
        <v>1.6702675992712334E+32</v>
      </c>
      <c r="SCS28" s="613">
        <f t="shared" ref="SCS28" si="6493">SCQ$28*$C$28</f>
        <v>1.6869702752639458E+32</v>
      </c>
      <c r="SCU28" s="613">
        <f t="shared" ref="SCU28" si="6494">SCS$28*$C$28</f>
        <v>1.7038399780165853E+32</v>
      </c>
      <c r="SCW28" s="613">
        <f t="shared" ref="SCW28" si="6495">SCU$28*$C$28</f>
        <v>1.7208783777967512E+32</v>
      </c>
      <c r="SCY28" s="613">
        <f t="shared" ref="SCY28" si="6496">SCW$28*$C$28</f>
        <v>1.7380871615747189E+32</v>
      </c>
      <c r="SDA28" s="613">
        <f t="shared" ref="SDA28" si="6497">SCY$28*$C$28</f>
        <v>1.7554680331904661E+32</v>
      </c>
      <c r="SDC28" s="613">
        <f t="shared" ref="SDC28" si="6498">SDA$28*$C$28</f>
        <v>1.7730227135223707E+32</v>
      </c>
      <c r="SDE28" s="613">
        <f t="shared" ref="SDE28" si="6499">SDC$28*$C$28</f>
        <v>1.7907529406575945E+32</v>
      </c>
      <c r="SDG28" s="613">
        <f t="shared" ref="SDG28" si="6500">SDE$28*$C$28</f>
        <v>1.8086604700641705E+32</v>
      </c>
      <c r="SDI28" s="613">
        <f t="shared" ref="SDI28" si="6501">SDG$28*$C$28</f>
        <v>1.8267470747648122E+32</v>
      </c>
      <c r="SDK28" s="613">
        <f t="shared" ref="SDK28" si="6502">SDI$28*$C$28</f>
        <v>1.8450145455124605E+32</v>
      </c>
      <c r="SDM28" s="613">
        <f t="shared" ref="SDM28" si="6503">SDK$28*$C$28</f>
        <v>1.863464690967585E+32</v>
      </c>
      <c r="SDO28" s="613">
        <f t="shared" ref="SDO28" si="6504">SDM$28*$C$28</f>
        <v>1.8820993378772607E+32</v>
      </c>
      <c r="SDQ28" s="613">
        <f t="shared" ref="SDQ28" si="6505">SDO$28*$C$28</f>
        <v>1.9009203312560331E+32</v>
      </c>
      <c r="SDS28" s="613">
        <f t="shared" ref="SDS28" si="6506">SDQ$28*$C$28</f>
        <v>1.9199295345685934E+32</v>
      </c>
      <c r="SDU28" s="613">
        <f t="shared" ref="SDU28" si="6507">SDS$28*$C$28</f>
        <v>1.9391288299142794E+32</v>
      </c>
      <c r="SDW28" s="613">
        <f t="shared" ref="SDW28" si="6508">SDU$28*$C$28</f>
        <v>1.9585201182134223E+32</v>
      </c>
      <c r="SDY28" s="613">
        <f t="shared" ref="SDY28" si="6509">SDW$28*$C$28</f>
        <v>1.9781053193955564E+32</v>
      </c>
      <c r="SEA28" s="613">
        <f t="shared" ref="SEA28" si="6510">SDY$28*$C$28</f>
        <v>1.9978863725895119E+32</v>
      </c>
      <c r="SEC28" s="613">
        <f t="shared" ref="SEC28" si="6511">SEA$28*$C$28</f>
        <v>2.0178652363154072E+32</v>
      </c>
      <c r="SEE28" s="613">
        <f t="shared" ref="SEE28" si="6512">SEC$28*$C$28</f>
        <v>2.0380438886785612E+32</v>
      </c>
      <c r="SEG28" s="613">
        <f t="shared" ref="SEG28" si="6513">SEE$28*$C$28</f>
        <v>2.0584243275653467E+32</v>
      </c>
      <c r="SEI28" s="613">
        <f t="shared" ref="SEI28" si="6514">SEG$28*$C$28</f>
        <v>2.0790085708410001E+32</v>
      </c>
      <c r="SEK28" s="613">
        <f t="shared" ref="SEK28" si="6515">SEI$28*$C$28</f>
        <v>2.0997986565494101E+32</v>
      </c>
      <c r="SEM28" s="613">
        <f t="shared" ref="SEM28" si="6516">SEK$28*$C$28</f>
        <v>2.1207966431149042E+32</v>
      </c>
      <c r="SEO28" s="613">
        <f t="shared" ref="SEO28" si="6517">SEM$28*$C$28</f>
        <v>2.1420046095460533E+32</v>
      </c>
      <c r="SEQ28" s="613">
        <f t="shared" ref="SEQ28" si="6518">SEO$28*$C$28</f>
        <v>2.1634246556415138E+32</v>
      </c>
      <c r="SES28" s="613">
        <f t="shared" ref="SES28" si="6519">SEQ$28*$C$28</f>
        <v>2.185058902197929E+32</v>
      </c>
      <c r="SEU28" s="613">
        <f t="shared" ref="SEU28" si="6520">SES$28*$C$28</f>
        <v>2.2069094912199084E+32</v>
      </c>
      <c r="SEW28" s="613">
        <f t="shared" ref="SEW28" si="6521">SEU$28*$C$28</f>
        <v>2.2289785861321073E+32</v>
      </c>
      <c r="SEY28" s="613">
        <f t="shared" ref="SEY28" si="6522">SEW$28*$C$28</f>
        <v>2.2512683719934283E+32</v>
      </c>
      <c r="SFA28" s="613">
        <f t="shared" ref="SFA28" si="6523">SEY$28*$C$28</f>
        <v>2.2737810557133624E+32</v>
      </c>
      <c r="SFC28" s="613">
        <f t="shared" ref="SFC28" si="6524">SFA$28*$C$28</f>
        <v>2.2965188662704961E+32</v>
      </c>
      <c r="SFE28" s="613">
        <f t="shared" ref="SFE28" si="6525">SFC$28*$C$28</f>
        <v>2.319484054933201E+32</v>
      </c>
      <c r="SFG28" s="613">
        <f t="shared" ref="SFG28" si="6526">SFE$28*$C$28</f>
        <v>2.342678895482533E+32</v>
      </c>
      <c r="SFI28" s="613">
        <f t="shared" ref="SFI28" si="6527">SFG$28*$C$28</f>
        <v>2.3661056844373586E+32</v>
      </c>
      <c r="SFK28" s="613">
        <f t="shared" ref="SFK28" si="6528">SFI$28*$C$28</f>
        <v>2.3897667412817323E+32</v>
      </c>
      <c r="SFM28" s="613">
        <f t="shared" ref="SFM28" si="6529">SFK$28*$C$28</f>
        <v>2.4136644086945496E+32</v>
      </c>
      <c r="SFO28" s="613">
        <f t="shared" ref="SFO28" si="6530">SFM$28*$C$28</f>
        <v>2.4378010527814951E+32</v>
      </c>
      <c r="SFQ28" s="613">
        <f t="shared" ref="SFQ28" si="6531">SFO$28*$C$28</f>
        <v>2.4621790633093102E+32</v>
      </c>
      <c r="SFS28" s="613">
        <f t="shared" ref="SFS28" si="6532">SFQ$28*$C$28</f>
        <v>2.4868008539424034E+32</v>
      </c>
      <c r="SFU28" s="613">
        <f t="shared" ref="SFU28" si="6533">SFS$28*$C$28</f>
        <v>2.5116688624818274E+32</v>
      </c>
      <c r="SFW28" s="613">
        <f t="shared" ref="SFW28" si="6534">SFU$28*$C$28</f>
        <v>2.5367855511066457E+32</v>
      </c>
      <c r="SFY28" s="613">
        <f t="shared" ref="SFY28" si="6535">SFW$28*$C$28</f>
        <v>2.562153406617712E+32</v>
      </c>
      <c r="SGA28" s="613">
        <f t="shared" ref="SGA28" si="6536">SFY$28*$C$28</f>
        <v>2.5877749406838891E+32</v>
      </c>
      <c r="SGC28" s="613">
        <f t="shared" ref="SGC28" si="6537">SGA$28*$C$28</f>
        <v>2.6136526900907279E+32</v>
      </c>
      <c r="SGE28" s="613">
        <f t="shared" ref="SGE28" si="6538">SGC$28*$C$28</f>
        <v>2.6397892169916351E+32</v>
      </c>
      <c r="SGG28" s="613">
        <f t="shared" ref="SGG28" si="6539">SGE$28*$C$28</f>
        <v>2.6661871091615514E+32</v>
      </c>
      <c r="SGI28" s="613">
        <f t="shared" ref="SGI28" si="6540">SGG$28*$C$28</f>
        <v>2.6928489802531671E+32</v>
      </c>
      <c r="SGK28" s="613">
        <f t="shared" ref="SGK28" si="6541">SGI$28*$C$28</f>
        <v>2.7197774700556988E+32</v>
      </c>
      <c r="SGM28" s="613">
        <f t="shared" ref="SGM28" si="6542">SGK$28*$C$28</f>
        <v>2.7469752447562558E+32</v>
      </c>
      <c r="SGO28" s="613">
        <f t="shared" ref="SGO28" si="6543">SGM$28*$C$28</f>
        <v>2.7744449972038184E+32</v>
      </c>
      <c r="SGQ28" s="613">
        <f t="shared" ref="SGQ28" si="6544">SGO$28*$C$28</f>
        <v>2.8021894471758566E+32</v>
      </c>
      <c r="SGS28" s="613">
        <f t="shared" ref="SGS28" si="6545">SGQ$28*$C$28</f>
        <v>2.8302113416476152E+32</v>
      </c>
      <c r="SGU28" s="613">
        <f t="shared" ref="SGU28" si="6546">SGS$28*$C$28</f>
        <v>2.8585134550640914E+32</v>
      </c>
      <c r="SGW28" s="613">
        <f t="shared" ref="SGW28" si="6547">SGU$28*$C$28</f>
        <v>2.8870985896147323E+32</v>
      </c>
      <c r="SGY28" s="613">
        <f t="shared" ref="SGY28" si="6548">SGW$28*$C$28</f>
        <v>2.9159695755108795E+32</v>
      </c>
      <c r="SHA28" s="613">
        <f t="shared" ref="SHA28" si="6549">SGY$28*$C$28</f>
        <v>2.9451292712659884E+32</v>
      </c>
      <c r="SHC28" s="613">
        <f t="shared" ref="SHC28" si="6550">SHA$28*$C$28</f>
        <v>2.9745805639786482E+32</v>
      </c>
      <c r="SHE28" s="613">
        <f t="shared" ref="SHE28" si="6551">SHC$28*$C$28</f>
        <v>3.0043263696184349E+32</v>
      </c>
      <c r="SHG28" s="613">
        <f t="shared" ref="SHG28" si="6552">SHE$28*$C$28</f>
        <v>3.0343696333146191E+32</v>
      </c>
      <c r="SHI28" s="613">
        <f t="shared" ref="SHI28" si="6553">SHG$28*$C$28</f>
        <v>3.0647133296477653E+32</v>
      </c>
      <c r="SHK28" s="613">
        <f t="shared" ref="SHK28" si="6554">SHI$28*$C$28</f>
        <v>3.0953604629442428E+32</v>
      </c>
      <c r="SHM28" s="613">
        <f t="shared" ref="SHM28" si="6555">SHK$28*$C$28</f>
        <v>3.1263140675736852E+32</v>
      </c>
      <c r="SHO28" s="613">
        <f t="shared" ref="SHO28" si="6556">SHM$28*$C$28</f>
        <v>3.1575772082494221E+32</v>
      </c>
      <c r="SHQ28" s="613">
        <f t="shared" ref="SHQ28" si="6557">SHO$28*$C$28</f>
        <v>3.1891529803319162E+32</v>
      </c>
      <c r="SHS28" s="613">
        <f t="shared" ref="SHS28" si="6558">SHQ$28*$C$28</f>
        <v>3.2210445101352355E+32</v>
      </c>
      <c r="SHU28" s="613">
        <f t="shared" ref="SHU28" si="6559">SHS$28*$C$28</f>
        <v>3.2532549552365875E+32</v>
      </c>
      <c r="SHW28" s="613">
        <f t="shared" ref="SHW28" si="6560">SHU$28*$C$28</f>
        <v>3.2857875047889532E+32</v>
      </c>
      <c r="SHY28" s="613">
        <f t="shared" ref="SHY28" si="6561">SHW$28*$C$28</f>
        <v>3.3186453798368425E+32</v>
      </c>
      <c r="SIA28" s="613">
        <f t="shared" ref="SIA28" si="6562">SHY$28*$C$28</f>
        <v>3.3518318336352113E+32</v>
      </c>
      <c r="SIC28" s="613">
        <f t="shared" ref="SIC28" si="6563">SIA$28*$C$28</f>
        <v>3.3853501519715633E+32</v>
      </c>
      <c r="SIE28" s="613">
        <f t="shared" ref="SIE28" si="6564">SIC$28*$C$28</f>
        <v>3.4192036534912791E+32</v>
      </c>
      <c r="SIG28" s="613">
        <f t="shared" ref="SIG28" si="6565">SIE$28*$C$28</f>
        <v>3.453395690026192E+32</v>
      </c>
      <c r="SII28" s="613">
        <f t="shared" ref="SII28" si="6566">SIG$28*$C$28</f>
        <v>3.4879296469264543E+32</v>
      </c>
      <c r="SIK28" s="613">
        <f t="shared" ref="SIK28" si="6567">SII$28*$C$28</f>
        <v>3.5228089433957192E+32</v>
      </c>
      <c r="SIM28" s="613">
        <f t="shared" ref="SIM28" si="6568">SIK$28*$C$28</f>
        <v>3.5580370328296765E+32</v>
      </c>
      <c r="SIO28" s="613">
        <f t="shared" ref="SIO28" si="6569">SIM$28*$C$28</f>
        <v>3.5936174031579732E+32</v>
      </c>
      <c r="SIQ28" s="613">
        <f t="shared" ref="SIQ28" si="6570">SIO$28*$C$28</f>
        <v>3.6295535771895533E+32</v>
      </c>
      <c r="SIS28" s="613">
        <f t="shared" ref="SIS28" si="6571">SIQ$28*$C$28</f>
        <v>3.6658491129614491E+32</v>
      </c>
      <c r="SIU28" s="613">
        <f t="shared" ref="SIU28" si="6572">SIS$28*$C$28</f>
        <v>3.7025076040910637E+32</v>
      </c>
      <c r="SIW28" s="613">
        <f t="shared" ref="SIW28" si="6573">SIU$28*$C$28</f>
        <v>3.7395326801319742E+32</v>
      </c>
      <c r="SIY28" s="613">
        <f t="shared" ref="SIY28" si="6574">SIW$28*$C$28</f>
        <v>3.7769280069332938E+32</v>
      </c>
      <c r="SJA28" s="613">
        <f t="shared" ref="SJA28" si="6575">SIY$28*$C$28</f>
        <v>3.8146972870026268E+32</v>
      </c>
      <c r="SJC28" s="613">
        <f t="shared" ref="SJC28" si="6576">SJA$28*$C$28</f>
        <v>3.8528442598726531E+32</v>
      </c>
      <c r="SJE28" s="613">
        <f t="shared" ref="SJE28" si="6577">SJC$28*$C$28</f>
        <v>3.8913727024713799E+32</v>
      </c>
      <c r="SJG28" s="613">
        <f t="shared" ref="SJG28" si="6578">SJE$28*$C$28</f>
        <v>3.9302864294960935E+32</v>
      </c>
      <c r="SJI28" s="613">
        <f t="shared" ref="SJI28" si="6579">SJG$28*$C$28</f>
        <v>3.9695892937910548E+32</v>
      </c>
      <c r="SJK28" s="613">
        <f t="shared" ref="SJK28" si="6580">SJI$28*$C$28</f>
        <v>4.0092851867289651E+32</v>
      </c>
      <c r="SJM28" s="613">
        <f t="shared" ref="SJM28" si="6581">SJK$28*$C$28</f>
        <v>4.0493780385962545E+32</v>
      </c>
      <c r="SJO28" s="613">
        <f t="shared" ref="SJO28" si="6582">SJM$28*$C$28</f>
        <v>4.0898718189822173E+32</v>
      </c>
      <c r="SJQ28" s="613">
        <f t="shared" ref="SJQ28" si="6583">SJO$28*$C$28</f>
        <v>4.1307705371720392E+32</v>
      </c>
      <c r="SJS28" s="613">
        <f t="shared" ref="SJS28" si="6584">SJQ$28*$C$28</f>
        <v>4.1720782425437594E+32</v>
      </c>
      <c r="SJU28" s="613">
        <f t="shared" ref="SJU28" si="6585">SJS$28*$C$28</f>
        <v>4.2137990249691972E+32</v>
      </c>
      <c r="SJW28" s="613">
        <f t="shared" ref="SJW28" si="6586">SJU$28*$C$28</f>
        <v>4.2559370152188892E+32</v>
      </c>
      <c r="SJY28" s="613">
        <f t="shared" ref="SJY28" si="6587">SJW$28*$C$28</f>
        <v>4.2984963853710781E+32</v>
      </c>
      <c r="SKA28" s="613">
        <f t="shared" ref="SKA28" si="6588">SJY$28*$C$28</f>
        <v>4.3414813492247887E+32</v>
      </c>
      <c r="SKC28" s="613">
        <f t="shared" ref="SKC28" si="6589">SKA$28*$C$28</f>
        <v>4.3848961627170368E+32</v>
      </c>
      <c r="SKE28" s="613">
        <f t="shared" ref="SKE28" si="6590">SKC$28*$C$28</f>
        <v>4.4287451243442073E+32</v>
      </c>
      <c r="SKG28" s="613">
        <f t="shared" ref="SKG28" si="6591">SKE$28*$C$28</f>
        <v>4.4730325755876495E+32</v>
      </c>
      <c r="SKI28" s="613">
        <f t="shared" ref="SKI28" si="6592">SKG$28*$C$28</f>
        <v>4.5177629013435259E+32</v>
      </c>
      <c r="SKK28" s="613">
        <f t="shared" ref="SKK28" si="6593">SKI$28*$C$28</f>
        <v>4.5629405303569614E+32</v>
      </c>
      <c r="SKM28" s="613">
        <f t="shared" ref="SKM28" si="6594">SKK$28*$C$28</f>
        <v>4.6085699356605308E+32</v>
      </c>
      <c r="SKO28" s="613">
        <f t="shared" ref="SKO28" si="6595">SKM$28*$C$28</f>
        <v>4.6546556350171361E+32</v>
      </c>
      <c r="SKQ28" s="613">
        <f t="shared" ref="SKQ28" si="6596">SKO$28*$C$28</f>
        <v>4.7012021913673077E+32</v>
      </c>
      <c r="SKS28" s="613">
        <f t="shared" ref="SKS28" si="6597">SKQ$28*$C$28</f>
        <v>4.7482142132809809E+32</v>
      </c>
      <c r="SKU28" s="613">
        <f t="shared" ref="SKU28" si="6598">SKS$28*$C$28</f>
        <v>4.7956963554137907E+32</v>
      </c>
      <c r="SKW28" s="613">
        <f t="shared" ref="SKW28" si="6599">SKU$28*$C$28</f>
        <v>4.8436533189679288E+32</v>
      </c>
      <c r="SKY28" s="613">
        <f t="shared" ref="SKY28" si="6600">SKW$28*$C$28</f>
        <v>4.892089852157608E+32</v>
      </c>
      <c r="SLA28" s="613">
        <f t="shared" ref="SLA28" si="6601">SKY$28*$C$28</f>
        <v>4.9410107506791843E+32</v>
      </c>
      <c r="SLC28" s="613">
        <f t="shared" ref="SLC28" si="6602">SLA$28*$C$28</f>
        <v>4.9904208581859763E+32</v>
      </c>
      <c r="SLE28" s="613">
        <f t="shared" ref="SLE28" si="6603">SLC$28*$C$28</f>
        <v>5.0403250667678358E+32</v>
      </c>
      <c r="SLG28" s="613">
        <f t="shared" ref="SLG28" si="6604">SLE$28*$C$28</f>
        <v>5.090728317435514E+32</v>
      </c>
      <c r="SLI28" s="613">
        <f t="shared" ref="SLI28" si="6605">SLG$28*$C$28</f>
        <v>5.1416356006098689E+32</v>
      </c>
      <c r="SLK28" s="613">
        <f t="shared" ref="SLK28" si="6606">SLI$28*$C$28</f>
        <v>5.1930519566159673E+32</v>
      </c>
      <c r="SLM28" s="613">
        <f t="shared" ref="SLM28" si="6607">SLK$28*$C$28</f>
        <v>5.2449824761821269E+32</v>
      </c>
      <c r="SLO28" s="613">
        <f t="shared" ref="SLO28" si="6608">SLM$28*$C$28</f>
        <v>5.2974323009439483E+32</v>
      </c>
      <c r="SLQ28" s="613">
        <f t="shared" ref="SLQ28" si="6609">SLO$28*$C$28</f>
        <v>5.3504066239533875E+32</v>
      </c>
      <c r="SLS28" s="613">
        <f t="shared" ref="SLS28" si="6610">SLQ$28*$C$28</f>
        <v>5.4039106901929214E+32</v>
      </c>
      <c r="SLU28" s="613">
        <f t="shared" ref="SLU28" si="6611">SLS$28*$C$28</f>
        <v>5.4579497970948509E+32</v>
      </c>
      <c r="SLW28" s="613">
        <f t="shared" ref="SLW28" si="6612">SLU$28*$C$28</f>
        <v>5.5125292950657992E+32</v>
      </c>
      <c r="SLY28" s="613">
        <f t="shared" ref="SLY28" si="6613">SLW$28*$C$28</f>
        <v>5.5676545880164571E+32</v>
      </c>
      <c r="SMA28" s="613">
        <f t="shared" ref="SMA28" si="6614">SLY$28*$C$28</f>
        <v>5.6233311338966216E+32</v>
      </c>
      <c r="SMC28" s="613">
        <f t="shared" ref="SMC28" si="6615">SMA$28*$C$28</f>
        <v>5.6795644452355879E+32</v>
      </c>
      <c r="SME28" s="613">
        <f t="shared" ref="SME28" si="6616">SMC$28*$C$28</f>
        <v>5.7363600896879438E+32</v>
      </c>
      <c r="SMG28" s="613">
        <f t="shared" ref="SMG28" si="6617">SME$28*$C$28</f>
        <v>5.7937236905848234E+32</v>
      </c>
      <c r="SMI28" s="613">
        <f t="shared" ref="SMI28" si="6618">SMG$28*$C$28</f>
        <v>5.8516609274906717E+32</v>
      </c>
      <c r="SMK28" s="613">
        <f t="shared" ref="SMK28" si="6619">SMI$28*$C$28</f>
        <v>5.9101775367655782E+32</v>
      </c>
      <c r="SMM28" s="613">
        <f t="shared" ref="SMM28" si="6620">SMK$28*$C$28</f>
        <v>5.9692793121332339E+32</v>
      </c>
      <c r="SMO28" s="613">
        <f t="shared" ref="SMO28" si="6621">SMM$28*$C$28</f>
        <v>6.0289721052545665E+32</v>
      </c>
      <c r="SMQ28" s="613">
        <f t="shared" ref="SMQ28" si="6622">SMO$28*$C$28</f>
        <v>6.0892618263071119E+32</v>
      </c>
      <c r="SMS28" s="613">
        <f t="shared" ref="SMS28" si="6623">SMQ$28*$C$28</f>
        <v>6.1501544445701832E+32</v>
      </c>
      <c r="SMU28" s="613">
        <f t="shared" ref="SMU28" si="6624">SMS$28*$C$28</f>
        <v>6.211655989015885E+32</v>
      </c>
      <c r="SMW28" s="613">
        <f t="shared" ref="SMW28" si="6625">SMU$28*$C$28</f>
        <v>6.2737725489060436E+32</v>
      </c>
      <c r="SMY28" s="613">
        <f t="shared" ref="SMY28" si="6626">SMW$28*$C$28</f>
        <v>6.3365102743951038E+32</v>
      </c>
      <c r="SNA28" s="613">
        <f t="shared" ref="SNA28" si="6627">SMY$28*$C$28</f>
        <v>6.3998753771390546E+32</v>
      </c>
      <c r="SNC28" s="613">
        <f t="shared" ref="SNC28" si="6628">SNA$28*$C$28</f>
        <v>6.4638741309104449E+32</v>
      </c>
      <c r="SNE28" s="613">
        <f t="shared" ref="SNE28" si="6629">SNC$28*$C$28</f>
        <v>6.5285128722195492E+32</v>
      </c>
      <c r="SNG28" s="613">
        <f t="shared" ref="SNG28" si="6630">SNE$28*$C$28</f>
        <v>6.5937980009417445E+32</v>
      </c>
      <c r="SNI28" s="613">
        <f t="shared" ref="SNI28" si="6631">SNG$28*$C$28</f>
        <v>6.6597359809511615E+32</v>
      </c>
      <c r="SNK28" s="613">
        <f t="shared" ref="SNK28" si="6632">SNI$28*$C$28</f>
        <v>6.7263333407606736E+32</v>
      </c>
      <c r="SNM28" s="613">
        <f t="shared" ref="SNM28" si="6633">SNK$28*$C$28</f>
        <v>6.7935966741682801E+32</v>
      </c>
      <c r="SNO28" s="613">
        <f t="shared" ref="SNO28" si="6634">SNM$28*$C$28</f>
        <v>6.8615326409099633E+32</v>
      </c>
      <c r="SNQ28" s="613">
        <f t="shared" ref="SNQ28" si="6635">SNO$28*$C$28</f>
        <v>6.9301479673190635E+32</v>
      </c>
      <c r="SNS28" s="613">
        <f t="shared" ref="SNS28" si="6636">SNQ$28*$C$28</f>
        <v>6.9994494469922537E+32</v>
      </c>
      <c r="SNU28" s="613">
        <f t="shared" ref="SNU28" si="6637">SNS$28*$C$28</f>
        <v>7.0694439414621757E+32</v>
      </c>
      <c r="SNW28" s="613">
        <f t="shared" ref="SNW28" si="6638">SNU$28*$C$28</f>
        <v>7.1401383808767978E+32</v>
      </c>
      <c r="SNY28" s="613">
        <f t="shared" ref="SNY28" si="6639">SNW$28*$C$28</f>
        <v>7.2115397646855657E+32</v>
      </c>
      <c r="SOA28" s="613">
        <f t="shared" ref="SOA28" si="6640">SNY$28*$C$28</f>
        <v>7.283655162332421E+32</v>
      </c>
      <c r="SOC28" s="613">
        <f t="shared" ref="SOC28" si="6641">SOA$28*$C$28</f>
        <v>7.3564917139557454E+32</v>
      </c>
      <c r="SOE28" s="613">
        <f t="shared" ref="SOE28" si="6642">SOC$28*$C$28</f>
        <v>7.4300566310953035E+32</v>
      </c>
      <c r="SOG28" s="613">
        <f t="shared" ref="SOG28" si="6643">SOE$28*$C$28</f>
        <v>7.504357197406257E+32</v>
      </c>
      <c r="SOI28" s="613">
        <f t="shared" ref="SOI28" si="6644">SOG$28*$C$28</f>
        <v>7.5794007693803201E+32</v>
      </c>
      <c r="SOK28" s="613">
        <f t="shared" ref="SOK28" si="6645">SOI$28*$C$28</f>
        <v>7.6551947770741235E+32</v>
      </c>
      <c r="SOM28" s="613">
        <f t="shared" ref="SOM28" si="6646">SOK$28*$C$28</f>
        <v>7.7317467248448647E+32</v>
      </c>
      <c r="SOO28" s="613">
        <f t="shared" ref="SOO28" si="6647">SOM$28*$C$28</f>
        <v>7.8090641920933137E+32</v>
      </c>
      <c r="SOQ28" s="613">
        <f t="shared" ref="SOQ28" si="6648">SOO$28*$C$28</f>
        <v>7.8871548340142475E+32</v>
      </c>
      <c r="SOS28" s="613">
        <f t="shared" ref="SOS28" si="6649">SOQ$28*$C$28</f>
        <v>7.9660263823543902E+32</v>
      </c>
      <c r="SOU28" s="613">
        <f t="shared" ref="SOU28" si="6650">SOS$28*$C$28</f>
        <v>8.045686646177934E+32</v>
      </c>
      <c r="SOW28" s="613">
        <f t="shared" ref="SOW28" si="6651">SOU$28*$C$28</f>
        <v>8.1261435126397136E+32</v>
      </c>
      <c r="SOY28" s="613">
        <f t="shared" ref="SOY28" si="6652">SOW$28*$C$28</f>
        <v>8.2074049477661107E+32</v>
      </c>
      <c r="SPA28" s="613">
        <f t="shared" ref="SPA28" si="6653">SOY$28*$C$28</f>
        <v>8.2894789972437714E+32</v>
      </c>
      <c r="SPC28" s="613">
        <f t="shared" ref="SPC28" si="6654">SPA$28*$C$28</f>
        <v>8.3723737872162094E+32</v>
      </c>
      <c r="SPE28" s="613">
        <f t="shared" ref="SPE28" si="6655">SPC$28*$C$28</f>
        <v>8.4560975250883712E+32</v>
      </c>
      <c r="SPG28" s="613">
        <f t="shared" ref="SPG28" si="6656">SPE$28*$C$28</f>
        <v>8.5406585003392553E+32</v>
      </c>
      <c r="SPI28" s="613">
        <f t="shared" ref="SPI28" si="6657">SPG$28*$C$28</f>
        <v>8.6260650853426486E+32</v>
      </c>
      <c r="SPK28" s="613">
        <f t="shared" ref="SPK28" si="6658">SPI$28*$C$28</f>
        <v>8.7123257361960749E+32</v>
      </c>
      <c r="SPM28" s="613">
        <f t="shared" ref="SPM28" si="6659">SPK$28*$C$28</f>
        <v>8.7994489935580357E+32</v>
      </c>
      <c r="SPO28" s="613">
        <f t="shared" ref="SPO28" si="6660">SPM$28*$C$28</f>
        <v>8.8874434834936168E+32</v>
      </c>
      <c r="SPQ28" s="613">
        <f t="shared" ref="SPQ28" si="6661">SPO$28*$C$28</f>
        <v>8.9763179183285532E+32</v>
      </c>
      <c r="SPS28" s="613">
        <f t="shared" ref="SPS28" si="6662">SPQ$28*$C$28</f>
        <v>9.0660810975118384E+32</v>
      </c>
      <c r="SPU28" s="613">
        <f t="shared" ref="SPU28" si="6663">SPS$28*$C$28</f>
        <v>9.1567419084869576E+32</v>
      </c>
      <c r="SPW28" s="613">
        <f t="shared" ref="SPW28" si="6664">SPU$28*$C$28</f>
        <v>9.2483093275718272E+32</v>
      </c>
      <c r="SPY28" s="613">
        <f t="shared" ref="SPY28" si="6665">SPW$28*$C$28</f>
        <v>9.3407924208475461E+32</v>
      </c>
      <c r="SQA28" s="613">
        <f t="shared" ref="SQA28" si="6666">SPY$28*$C$28</f>
        <v>9.4342003450560218E+32</v>
      </c>
      <c r="SQC28" s="613">
        <f t="shared" ref="SQC28" si="6667">SQA$28*$C$28</f>
        <v>9.5285423485065824E+32</v>
      </c>
      <c r="SQE28" s="613">
        <f t="shared" ref="SQE28" si="6668">SQC$28*$C$28</f>
        <v>9.623827771991648E+32</v>
      </c>
      <c r="SQG28" s="613">
        <f t="shared" ref="SQG28" si="6669">SQE$28*$C$28</f>
        <v>9.7200660497115646E+32</v>
      </c>
      <c r="SQI28" s="613">
        <f t="shared" ref="SQI28" si="6670">SQG$28*$C$28</f>
        <v>9.8172667102086799E+32</v>
      </c>
      <c r="SQK28" s="613">
        <f t="shared" ref="SQK28" si="6671">SQI$28*$C$28</f>
        <v>9.9154393773107662E+32</v>
      </c>
      <c r="SQM28" s="613">
        <f t="shared" ref="SQM28" si="6672">SQK$28*$C$28</f>
        <v>1.0014593771083873E+33</v>
      </c>
      <c r="SQO28" s="613">
        <f t="shared" ref="SQO28" si="6673">SQM$28*$C$28</f>
        <v>1.0114739708794712E+33</v>
      </c>
      <c r="SQQ28" s="613">
        <f t="shared" ref="SQQ28" si="6674">SQO$28*$C$28</f>
        <v>1.0215887105882659E+33</v>
      </c>
      <c r="SQS28" s="613">
        <f t="shared" ref="SQS28" si="6675">SQQ$28*$C$28</f>
        <v>1.0318045976941486E+33</v>
      </c>
      <c r="SQU28" s="613">
        <f t="shared" ref="SQU28" si="6676">SQS$28*$C$28</f>
        <v>1.0421226436710901E+33</v>
      </c>
      <c r="SQW28" s="613">
        <f t="shared" ref="SQW28" si="6677">SQU$28*$C$28</f>
        <v>1.052543870107801E+33</v>
      </c>
      <c r="SQY28" s="613">
        <f t="shared" ref="SQY28" si="6678">SQW$28*$C$28</f>
        <v>1.063069308808879E+33</v>
      </c>
      <c r="SRA28" s="613">
        <f t="shared" ref="SRA28" si="6679">SQY$28*$C$28</f>
        <v>1.0737000018969677E+33</v>
      </c>
      <c r="SRC28" s="613">
        <f t="shared" ref="SRC28" si="6680">SRA$28*$C$28</f>
        <v>1.0844370019159375E+33</v>
      </c>
      <c r="SRE28" s="613">
        <f t="shared" ref="SRE28" si="6681">SRC$28*$C$28</f>
        <v>1.0952813719350968E+33</v>
      </c>
      <c r="SRG28" s="613">
        <f t="shared" ref="SRG28" si="6682">SRE$28*$C$28</f>
        <v>1.1062341856544478E+33</v>
      </c>
      <c r="SRI28" s="613">
        <f t="shared" ref="SRI28" si="6683">SRG$28*$C$28</f>
        <v>1.1172965275109922E+33</v>
      </c>
      <c r="SRK28" s="613">
        <f t="shared" ref="SRK28" si="6684">SRI$28*$C$28</f>
        <v>1.1284694927861021E+33</v>
      </c>
      <c r="SRM28" s="613">
        <f t="shared" ref="SRM28" si="6685">SRK$28*$C$28</f>
        <v>1.1397541877139632E+33</v>
      </c>
      <c r="SRO28" s="613">
        <f t="shared" ref="SRO28" si="6686">SRM$28*$C$28</f>
        <v>1.1511517295911029E+33</v>
      </c>
      <c r="SRQ28" s="613">
        <f t="shared" ref="SRQ28" si="6687">SRO$28*$C$28</f>
        <v>1.162663246887014E+33</v>
      </c>
      <c r="SRS28" s="613">
        <f t="shared" ref="SRS28" si="6688">SRQ$28*$C$28</f>
        <v>1.1742898793558841E+33</v>
      </c>
      <c r="SRU28" s="613">
        <f t="shared" ref="SRU28" si="6689">SRS$28*$C$28</f>
        <v>1.186032778149443E+33</v>
      </c>
      <c r="SRW28" s="613">
        <f t="shared" ref="SRW28" si="6690">SRU$28*$C$28</f>
        <v>1.1978931059309374E+33</v>
      </c>
      <c r="SRY28" s="613">
        <f t="shared" ref="SRY28" si="6691">SRW$28*$C$28</f>
        <v>1.2098720369902468E+33</v>
      </c>
      <c r="SSA28" s="613">
        <f t="shared" ref="SSA28" si="6692">SRY$28*$C$28</f>
        <v>1.2219707573601493E+33</v>
      </c>
      <c r="SSC28" s="613">
        <f t="shared" ref="SSC28" si="6693">SSA$28*$C$28</f>
        <v>1.2341904649337508E+33</v>
      </c>
      <c r="SSE28" s="613">
        <f t="shared" ref="SSE28" si="6694">SSC$28*$C$28</f>
        <v>1.2465323695830882E+33</v>
      </c>
      <c r="SSG28" s="613">
        <f t="shared" ref="SSG28" si="6695">SSE$28*$C$28</f>
        <v>1.2589976932789191E+33</v>
      </c>
      <c r="SSI28" s="613">
        <f t="shared" ref="SSI28" si="6696">SSG$28*$C$28</f>
        <v>1.2715876702117083E+33</v>
      </c>
      <c r="SSK28" s="613">
        <f t="shared" ref="SSK28" si="6697">SSI$28*$C$28</f>
        <v>1.2843035469138254E+33</v>
      </c>
      <c r="SSM28" s="613">
        <f t="shared" ref="SSM28" si="6698">SSK$28*$C$28</f>
        <v>1.2971465823829637E+33</v>
      </c>
      <c r="SSO28" s="613">
        <f t="shared" ref="SSO28" si="6699">SSM$28*$C$28</f>
        <v>1.3101180482067932E+33</v>
      </c>
      <c r="SSQ28" s="613">
        <f t="shared" ref="SSQ28" si="6700">SSO$28*$C$28</f>
        <v>1.3232192286888612E+33</v>
      </c>
      <c r="SSS28" s="613">
        <f t="shared" ref="SSS28" si="6701">SSQ$28*$C$28</f>
        <v>1.3364514209757499E+33</v>
      </c>
      <c r="SSU28" s="613">
        <f t="shared" ref="SSU28" si="6702">SSS$28*$C$28</f>
        <v>1.3498159351855074E+33</v>
      </c>
      <c r="SSW28" s="613">
        <f t="shared" ref="SSW28" si="6703">SSU$28*$C$28</f>
        <v>1.3633140945373626E+33</v>
      </c>
      <c r="SSY28" s="613">
        <f t="shared" ref="SSY28" si="6704">SSW$28*$C$28</f>
        <v>1.3769472354827363E+33</v>
      </c>
      <c r="STA28" s="613">
        <f t="shared" ref="STA28" si="6705">SSY$28*$C$28</f>
        <v>1.3907167078375636E+33</v>
      </c>
      <c r="STC28" s="613">
        <f t="shared" ref="STC28" si="6706">STA$28*$C$28</f>
        <v>1.4046238749159392E+33</v>
      </c>
      <c r="STE28" s="613">
        <f t="shared" ref="STE28" si="6707">STC$28*$C$28</f>
        <v>1.4186701136650987E+33</v>
      </c>
      <c r="STG28" s="613">
        <f t="shared" ref="STG28" si="6708">STE$28*$C$28</f>
        <v>1.4328568148017498E+33</v>
      </c>
      <c r="STI28" s="613">
        <f t="shared" ref="STI28" si="6709">STG$28*$C$28</f>
        <v>1.4471853829497673E+33</v>
      </c>
      <c r="STK28" s="613">
        <f t="shared" ref="STK28" si="6710">STI$28*$C$28</f>
        <v>1.461657236779265E+33</v>
      </c>
      <c r="STM28" s="613">
        <f t="shared" ref="STM28" si="6711">STK$28*$C$28</f>
        <v>1.4762738091470577E+33</v>
      </c>
      <c r="STO28" s="613">
        <f t="shared" ref="STO28" si="6712">STM$28*$C$28</f>
        <v>1.4910365472385283E+33</v>
      </c>
      <c r="STQ28" s="613">
        <f t="shared" ref="STQ28" si="6713">STO$28*$C$28</f>
        <v>1.5059469127109137E+33</v>
      </c>
      <c r="STS28" s="613">
        <f t="shared" ref="STS28" si="6714">STQ$28*$C$28</f>
        <v>1.5210063818380227E+33</v>
      </c>
      <c r="STU28" s="613">
        <f t="shared" ref="STU28" si="6715">STS$28*$C$28</f>
        <v>1.5362164456564029E+33</v>
      </c>
      <c r="STW28" s="613">
        <f t="shared" ref="STW28" si="6716">STU$28*$C$28</f>
        <v>1.5515786101129669E+33</v>
      </c>
      <c r="STY28" s="613">
        <f t="shared" ref="STY28" si="6717">STW$28*$C$28</f>
        <v>1.5670943962140966E+33</v>
      </c>
      <c r="SUA28" s="613">
        <f t="shared" ref="SUA28" si="6718">STY$28*$C$28</f>
        <v>1.5827653401762376E+33</v>
      </c>
      <c r="SUC28" s="613">
        <f t="shared" ref="SUC28" si="6719">SUA$28*$C$28</f>
        <v>1.5985929935780001E+33</v>
      </c>
      <c r="SUE28" s="613">
        <f t="shared" ref="SUE28" si="6720">SUC$28*$C$28</f>
        <v>1.6145789235137801E+33</v>
      </c>
      <c r="SUG28" s="613">
        <f t="shared" ref="SUG28" si="6721">SUE$28*$C$28</f>
        <v>1.6307247127489178E+33</v>
      </c>
      <c r="SUI28" s="613">
        <f t="shared" ref="SUI28" si="6722">SUG$28*$C$28</f>
        <v>1.6470319598764071E+33</v>
      </c>
      <c r="SUK28" s="613">
        <f t="shared" ref="SUK28" si="6723">SUI$28*$C$28</f>
        <v>1.6635022794751712E+33</v>
      </c>
      <c r="SUM28" s="613">
        <f t="shared" ref="SUM28" si="6724">SUK$28*$C$28</f>
        <v>1.6801373022699229E+33</v>
      </c>
      <c r="SUO28" s="613">
        <f t="shared" ref="SUO28" si="6725">SUM$28*$C$28</f>
        <v>1.6969386752926222E+33</v>
      </c>
      <c r="SUQ28" s="613">
        <f t="shared" ref="SUQ28" si="6726">SUO$28*$C$28</f>
        <v>1.7139080620455485E+33</v>
      </c>
      <c r="SUS28" s="613">
        <f t="shared" ref="SUS28" si="6727">SUQ$28*$C$28</f>
        <v>1.7310471426660041E+33</v>
      </c>
      <c r="SUU28" s="613">
        <f t="shared" ref="SUU28" si="6728">SUS$28*$C$28</f>
        <v>1.7483576140926642E+33</v>
      </c>
      <c r="SUW28" s="613">
        <f t="shared" ref="SUW28" si="6729">SUU$28*$C$28</f>
        <v>1.7658411902335909E+33</v>
      </c>
      <c r="SUY28" s="613">
        <f t="shared" ref="SUY28" si="6730">SUW$28*$C$28</f>
        <v>1.7834996021359268E+33</v>
      </c>
      <c r="SVA28" s="613">
        <f t="shared" ref="SVA28" si="6731">SUY$28*$C$28</f>
        <v>1.8013345981572862E+33</v>
      </c>
      <c r="SVC28" s="613">
        <f t="shared" ref="SVC28" si="6732">SVA$28*$C$28</f>
        <v>1.8193479441388591E+33</v>
      </c>
      <c r="SVE28" s="613">
        <f t="shared" ref="SVE28" si="6733">SVC$28*$C$28</f>
        <v>1.8375414235802476E+33</v>
      </c>
      <c r="SVG28" s="613">
        <f t="shared" ref="SVG28" si="6734">SVE$28*$C$28</f>
        <v>1.8559168378160501E+33</v>
      </c>
      <c r="SVI28" s="613">
        <f t="shared" ref="SVI28" si="6735">SVG$28*$C$28</f>
        <v>1.8744760061942106E+33</v>
      </c>
      <c r="SVK28" s="613">
        <f t="shared" ref="SVK28" si="6736">SVI$28*$C$28</f>
        <v>1.8932207662561527E+33</v>
      </c>
      <c r="SVM28" s="613">
        <f t="shared" ref="SVM28" si="6737">SVK$28*$C$28</f>
        <v>1.9121529739187143E+33</v>
      </c>
      <c r="SVO28" s="613">
        <f t="shared" ref="SVO28" si="6738">SVM$28*$C$28</f>
        <v>1.9312745036579014E+33</v>
      </c>
      <c r="SVQ28" s="613">
        <f t="shared" ref="SVQ28" si="6739">SVO$28*$C$28</f>
        <v>1.9505872486944803E+33</v>
      </c>
      <c r="SVS28" s="613">
        <f t="shared" ref="SVS28" si="6740">SVQ$28*$C$28</f>
        <v>1.9700931211814252E+33</v>
      </c>
      <c r="SVU28" s="613">
        <f t="shared" ref="SVU28" si="6741">SVS$28*$C$28</f>
        <v>1.9897940523932395E+33</v>
      </c>
      <c r="SVW28" s="613">
        <f t="shared" ref="SVW28" si="6742">SVU$28*$C$28</f>
        <v>2.0096919929171721E+33</v>
      </c>
      <c r="SVY28" s="613">
        <f t="shared" ref="SVY28" si="6743">SVW$28*$C$28</f>
        <v>2.0297889128463439E+33</v>
      </c>
      <c r="SWA28" s="613">
        <f t="shared" ref="SWA28" si="6744">SVY$28*$C$28</f>
        <v>2.0500868019748073E+33</v>
      </c>
      <c r="SWC28" s="613">
        <f t="shared" ref="SWC28" si="6745">SWA$28*$C$28</f>
        <v>2.0705876699945553E+33</v>
      </c>
      <c r="SWE28" s="613">
        <f t="shared" ref="SWE28" si="6746">SWC$28*$C$28</f>
        <v>2.0912935466945011E+33</v>
      </c>
      <c r="SWG28" s="613">
        <f t="shared" ref="SWG28" si="6747">SWE$28*$C$28</f>
        <v>2.1122064821614461E+33</v>
      </c>
      <c r="SWI28" s="613">
        <f t="shared" ref="SWI28" si="6748">SWG$28*$C$28</f>
        <v>2.1333285469830605E+33</v>
      </c>
      <c r="SWK28" s="613">
        <f t="shared" ref="SWK28" si="6749">SWI$28*$C$28</f>
        <v>2.1546618324528911E+33</v>
      </c>
      <c r="SWM28" s="613">
        <f t="shared" ref="SWM28" si="6750">SWK$28*$C$28</f>
        <v>2.1762084507774201E+33</v>
      </c>
      <c r="SWO28" s="613">
        <f t="shared" ref="SWO28" si="6751">SWM$28*$C$28</f>
        <v>2.1979705352851943E+33</v>
      </c>
      <c r="SWQ28" s="613">
        <f t="shared" ref="SWQ28" si="6752">SWO$28*$C$28</f>
        <v>2.2199502406380463E+33</v>
      </c>
      <c r="SWS28" s="613">
        <f t="shared" ref="SWS28" si="6753">SWQ$28*$C$28</f>
        <v>2.2421497430444268E+33</v>
      </c>
      <c r="SWU28" s="613">
        <f t="shared" ref="SWU28" si="6754">SWS$28*$C$28</f>
        <v>2.2645712404748712E+33</v>
      </c>
      <c r="SWW28" s="613">
        <f t="shared" ref="SWW28" si="6755">SWU$28*$C$28</f>
        <v>2.2872169528796201E+33</v>
      </c>
      <c r="SWY28" s="613">
        <f t="shared" ref="SWY28" si="6756">SWW$28*$C$28</f>
        <v>2.3100891224084162E+33</v>
      </c>
      <c r="SXA28" s="613">
        <f t="shared" ref="SXA28" si="6757">SWY$28*$C$28</f>
        <v>2.3331900136325004E+33</v>
      </c>
      <c r="SXC28" s="613">
        <f t="shared" ref="SXC28" si="6758">SXA$28*$C$28</f>
        <v>2.3565219137688254E+33</v>
      </c>
      <c r="SXE28" s="613">
        <f t="shared" ref="SXE28" si="6759">SXC$28*$C$28</f>
        <v>2.3800871329065138E+33</v>
      </c>
      <c r="SXG28" s="613">
        <f t="shared" ref="SXG28" si="6760">SXE$28*$C$28</f>
        <v>2.4038880042355789E+33</v>
      </c>
      <c r="SXI28" s="613">
        <f t="shared" ref="SXI28" si="6761">SXG$28*$C$28</f>
        <v>2.4279268842779347E+33</v>
      </c>
      <c r="SXK28" s="613">
        <f t="shared" ref="SXK28" si="6762">SXI$28*$C$28</f>
        <v>2.452206153120714E+33</v>
      </c>
      <c r="SXM28" s="613">
        <f t="shared" ref="SXM28" si="6763">SXK$28*$C$28</f>
        <v>2.4767282146519213E+33</v>
      </c>
      <c r="SXO28" s="613">
        <f t="shared" ref="SXO28" si="6764">SXM$28*$C$28</f>
        <v>2.5014954967984404E+33</v>
      </c>
      <c r="SXQ28" s="613">
        <f t="shared" ref="SXQ28" si="6765">SXO$28*$C$28</f>
        <v>2.5265104517664247E+33</v>
      </c>
      <c r="SXS28" s="613">
        <f t="shared" ref="SXS28" si="6766">SXQ$28*$C$28</f>
        <v>2.551775556284089E+33</v>
      </c>
      <c r="SXU28" s="613">
        <f t="shared" ref="SXU28" si="6767">SXS$28*$C$28</f>
        <v>2.57729331184693E+33</v>
      </c>
      <c r="SXW28" s="613">
        <f t="shared" ref="SXW28" si="6768">SXU$28*$C$28</f>
        <v>2.6030662449653991E+33</v>
      </c>
      <c r="SXY28" s="613">
        <f t="shared" ref="SXY28" si="6769">SXW$28*$C$28</f>
        <v>2.6290969074150533E+33</v>
      </c>
      <c r="SYA28" s="613">
        <f t="shared" ref="SYA28" si="6770">SXY$28*$C$28</f>
        <v>2.6553878764892037E+33</v>
      </c>
      <c r="SYC28" s="613">
        <f t="shared" ref="SYC28" si="6771">SYA$28*$C$28</f>
        <v>2.6819417552540956E+33</v>
      </c>
      <c r="SYE28" s="613">
        <f t="shared" ref="SYE28" si="6772">SYC$28*$C$28</f>
        <v>2.7087611728066364E+33</v>
      </c>
      <c r="SYG28" s="613">
        <f t="shared" ref="SYG28" si="6773">SYE$28*$C$28</f>
        <v>2.7358487845347026E+33</v>
      </c>
      <c r="SYI28" s="613">
        <f t="shared" ref="SYI28" si="6774">SYG$28*$C$28</f>
        <v>2.7632072723800498E+33</v>
      </c>
      <c r="SYK28" s="613">
        <f t="shared" ref="SYK28" si="6775">SYI$28*$C$28</f>
        <v>2.7908393451038502E+33</v>
      </c>
      <c r="SYM28" s="613">
        <f t="shared" ref="SYM28" si="6776">SYK$28*$C$28</f>
        <v>2.8187477385548888E+33</v>
      </c>
      <c r="SYO28" s="613">
        <f t="shared" ref="SYO28" si="6777">SYM$28*$C$28</f>
        <v>2.8469352159404377E+33</v>
      </c>
      <c r="SYQ28" s="613">
        <f t="shared" ref="SYQ28" si="6778">SYO$28*$C$28</f>
        <v>2.8754045680998422E+33</v>
      </c>
      <c r="SYS28" s="613">
        <f t="shared" ref="SYS28" si="6779">SYQ$28*$C$28</f>
        <v>2.9041586137808409E+33</v>
      </c>
      <c r="SYU28" s="613">
        <f t="shared" ref="SYU28" si="6780">SYS$28*$C$28</f>
        <v>2.9332001999186494E+33</v>
      </c>
      <c r="SYW28" s="613">
        <f t="shared" ref="SYW28" si="6781">SYU$28*$C$28</f>
        <v>2.9625322019178357E+33</v>
      </c>
      <c r="SYY28" s="613">
        <f t="shared" ref="SYY28" si="6782">SYW$28*$C$28</f>
        <v>2.9921575239370138E+33</v>
      </c>
      <c r="SZA28" s="613">
        <f t="shared" ref="SZA28" si="6783">SYY$28*$C$28</f>
        <v>3.0220790991763841E+33</v>
      </c>
      <c r="SZC28" s="613">
        <f t="shared" ref="SZC28" si="6784">SZA$28*$C$28</f>
        <v>3.0522998901681479E+33</v>
      </c>
      <c r="SZE28" s="613">
        <f t="shared" ref="SZE28" si="6785">SZC$28*$C$28</f>
        <v>3.0828228890698293E+33</v>
      </c>
      <c r="SZG28" s="613">
        <f t="shared" ref="SZG28" si="6786">SZE$28*$C$28</f>
        <v>3.1136511179605277E+33</v>
      </c>
      <c r="SZI28" s="613">
        <f t="shared" ref="SZI28" si="6787">SZG$28*$C$28</f>
        <v>3.1447876291401332E+33</v>
      </c>
      <c r="SZK28" s="613">
        <f t="shared" ref="SZK28" si="6788">SZI$28*$C$28</f>
        <v>3.1762355054315343E+33</v>
      </c>
      <c r="SZM28" s="613">
        <f t="shared" ref="SZM28" si="6789">SZK$28*$C$28</f>
        <v>3.2079978604858494E+33</v>
      </c>
      <c r="SZO28" s="613">
        <f t="shared" ref="SZO28" si="6790">SZM$28*$C$28</f>
        <v>3.2400778390907081E+33</v>
      </c>
      <c r="SZQ28" s="613">
        <f t="shared" ref="SZQ28" si="6791">SZO$28*$C$28</f>
        <v>3.2724786174816154E+33</v>
      </c>
      <c r="SZS28" s="613">
        <f t="shared" ref="SZS28" si="6792">SZQ$28*$C$28</f>
        <v>3.3052034036564317E+33</v>
      </c>
      <c r="SZU28" s="613">
        <f t="shared" ref="SZU28" si="6793">SZS$28*$C$28</f>
        <v>3.3382554376929962E+33</v>
      </c>
      <c r="SZW28" s="613">
        <f t="shared" ref="SZW28" si="6794">SZU$28*$C$28</f>
        <v>3.3716379920699264E+33</v>
      </c>
      <c r="SZY28" s="613">
        <f t="shared" ref="SZY28" si="6795">SZW$28*$C$28</f>
        <v>3.4053543719906256E+33</v>
      </c>
      <c r="TAA28" s="613">
        <f t="shared" ref="TAA28" si="6796">SZY$28*$C$28</f>
        <v>3.4394079157105319E+33</v>
      </c>
      <c r="TAC28" s="613">
        <f t="shared" ref="TAC28" si="6797">TAA$28*$C$28</f>
        <v>3.4738019948676371E+33</v>
      </c>
      <c r="TAE28" s="613">
        <f t="shared" ref="TAE28" si="6798">TAC$28*$C$28</f>
        <v>3.5085400148163137E+33</v>
      </c>
      <c r="TAG28" s="613">
        <f t="shared" ref="TAG28" si="6799">TAE$28*$C$28</f>
        <v>3.543625414964477E+33</v>
      </c>
      <c r="TAI28" s="613">
        <f t="shared" ref="TAI28" si="6800">TAG$28*$C$28</f>
        <v>3.5790616691141216E+33</v>
      </c>
      <c r="TAK28" s="613">
        <f t="shared" ref="TAK28" si="6801">TAI$28*$C$28</f>
        <v>3.6148522858052628E+33</v>
      </c>
      <c r="TAM28" s="613">
        <f t="shared" ref="TAM28" si="6802">TAK$28*$C$28</f>
        <v>3.6510008086633153E+33</v>
      </c>
      <c r="TAO28" s="613">
        <f t="shared" ref="TAO28" si="6803">TAM$28*$C$28</f>
        <v>3.6875108167499487E+33</v>
      </c>
      <c r="TAQ28" s="613">
        <f t="shared" ref="TAQ28" si="6804">TAO$28*$C$28</f>
        <v>3.7243859249174485E+33</v>
      </c>
      <c r="TAS28" s="613">
        <f t="shared" ref="TAS28" si="6805">TAQ$28*$C$28</f>
        <v>3.7616297841666231E+33</v>
      </c>
      <c r="TAU28" s="613">
        <f t="shared" ref="TAU28" si="6806">TAS$28*$C$28</f>
        <v>3.7992460820082892E+33</v>
      </c>
      <c r="TAW28" s="613">
        <f t="shared" ref="TAW28" si="6807">TAU$28*$C$28</f>
        <v>3.8372385428283722E+33</v>
      </c>
      <c r="TAY28" s="613">
        <f t="shared" ref="TAY28" si="6808">TAW$28*$C$28</f>
        <v>3.8756109282566559E+33</v>
      </c>
      <c r="TBA28" s="613">
        <f t="shared" ref="TBA28" si="6809">TAY$28*$C$28</f>
        <v>3.9143670375392225E+33</v>
      </c>
      <c r="TBC28" s="613">
        <f t="shared" ref="TBC28" si="6810">TBA$28*$C$28</f>
        <v>3.9535107079146149E+33</v>
      </c>
      <c r="TBE28" s="613">
        <f t="shared" ref="TBE28" si="6811">TBC$28*$C$28</f>
        <v>3.9930458149937612E+33</v>
      </c>
      <c r="TBG28" s="613">
        <f t="shared" ref="TBG28" si="6812">TBE$28*$C$28</f>
        <v>4.0329762731436987E+33</v>
      </c>
      <c r="TBI28" s="613">
        <f t="shared" ref="TBI28" si="6813">TBG$28*$C$28</f>
        <v>4.0733060358751355E+33</v>
      </c>
      <c r="TBK28" s="613">
        <f t="shared" ref="TBK28" si="6814">TBI$28*$C$28</f>
        <v>4.1140390962338867E+33</v>
      </c>
      <c r="TBM28" s="613">
        <f t="shared" ref="TBM28" si="6815">TBK$28*$C$28</f>
        <v>4.1551794871962254E+33</v>
      </c>
      <c r="TBO28" s="613">
        <f t="shared" ref="TBO28" si="6816">TBM$28*$C$28</f>
        <v>4.1967312820681879E+33</v>
      </c>
      <c r="TBQ28" s="613">
        <f t="shared" ref="TBQ28" si="6817">TBO$28*$C$28</f>
        <v>4.2386985948888696E+33</v>
      </c>
      <c r="TBS28" s="613">
        <f t="shared" ref="TBS28" si="6818">TBQ$28*$C$28</f>
        <v>4.2810855808377582E+33</v>
      </c>
      <c r="TBU28" s="613">
        <f t="shared" ref="TBU28" si="6819">TBS$28*$C$28</f>
        <v>4.3238964366461359E+33</v>
      </c>
      <c r="TBW28" s="613">
        <f t="shared" ref="TBW28" si="6820">TBU$28*$C$28</f>
        <v>4.3671354010125972E+33</v>
      </c>
      <c r="TBY28" s="613">
        <f t="shared" ref="TBY28" si="6821">TBW$28*$C$28</f>
        <v>4.410806755022723E+33</v>
      </c>
      <c r="TCA28" s="613">
        <f t="shared" ref="TCA28" si="6822">TBY$28*$C$28</f>
        <v>4.4549148225729502E+33</v>
      </c>
      <c r="TCC28" s="613">
        <f t="shared" ref="TCC28" si="6823">TCA$28*$C$28</f>
        <v>4.49946397079868E+33</v>
      </c>
      <c r="TCE28" s="613">
        <f t="shared" ref="TCE28" si="6824">TCC$28*$C$28</f>
        <v>4.5444586105066668E+33</v>
      </c>
      <c r="TCG28" s="613">
        <f t="shared" ref="TCG28" si="6825">TCE$28*$C$28</f>
        <v>4.5899031966117337E+33</v>
      </c>
      <c r="TCI28" s="613">
        <f t="shared" ref="TCI28" si="6826">TCG$28*$C$28</f>
        <v>4.6358022285778513E+33</v>
      </c>
      <c r="TCK28" s="613">
        <f t="shared" ref="TCK28" si="6827">TCI$28*$C$28</f>
        <v>4.6821602508636298E+33</v>
      </c>
      <c r="TCM28" s="613">
        <f t="shared" ref="TCM28" si="6828">TCK$28*$C$28</f>
        <v>4.7289818533722661E+33</v>
      </c>
      <c r="TCO28" s="613">
        <f t="shared" ref="TCO28" si="6829">TCM$28*$C$28</f>
        <v>4.7762716719059889E+33</v>
      </c>
      <c r="TCQ28" s="613">
        <f t="shared" ref="TCQ28" si="6830">TCO$28*$C$28</f>
        <v>4.8240343886250487E+33</v>
      </c>
      <c r="TCS28" s="613">
        <f t="shared" ref="TCS28" si="6831">TCQ$28*$C$28</f>
        <v>4.8722747325112992E+33</v>
      </c>
      <c r="TCU28" s="613">
        <f t="shared" ref="TCU28" si="6832">TCS$28*$C$28</f>
        <v>4.9209974798364124E+33</v>
      </c>
      <c r="TCW28" s="613">
        <f t="shared" ref="TCW28" si="6833">TCU$28*$C$28</f>
        <v>4.9702074546347764E+33</v>
      </c>
      <c r="TCY28" s="613">
        <f t="shared" ref="TCY28" si="6834">TCW$28*$C$28</f>
        <v>5.0199095291811242E+33</v>
      </c>
      <c r="TDA28" s="613">
        <f t="shared" ref="TDA28" si="6835">TCY$28*$C$28</f>
        <v>5.0701086244729356E+33</v>
      </c>
      <c r="TDC28" s="613">
        <f t="shared" ref="TDC28" si="6836">TDA$28*$C$28</f>
        <v>5.1208097107176651E+33</v>
      </c>
      <c r="TDE28" s="613">
        <f t="shared" ref="TDE28" si="6837">TDC$28*$C$28</f>
        <v>5.1720178078248415E+33</v>
      </c>
      <c r="TDG28" s="613">
        <f t="shared" ref="TDG28" si="6838">TDE$28*$C$28</f>
        <v>5.2237379859030902E+33</v>
      </c>
      <c r="TDI28" s="613">
        <f t="shared" ref="TDI28" si="6839">TDG$28*$C$28</f>
        <v>5.2759753657621217E+33</v>
      </c>
      <c r="TDK28" s="613">
        <f t="shared" ref="TDK28" si="6840">TDI$28*$C$28</f>
        <v>5.3287351194197425E+33</v>
      </c>
      <c r="TDM28" s="613">
        <f t="shared" ref="TDM28" si="6841">TDK$28*$C$28</f>
        <v>5.3820224706139405E+33</v>
      </c>
      <c r="TDO28" s="613">
        <f t="shared" ref="TDO28" si="6842">TDM$28*$C$28</f>
        <v>5.4358426953200805E+33</v>
      </c>
      <c r="TDQ28" s="613">
        <f t="shared" ref="TDQ28" si="6843">TDO$28*$C$28</f>
        <v>5.4902011222732814E+33</v>
      </c>
      <c r="TDS28" s="613">
        <f t="shared" ref="TDS28" si="6844">TDQ$28*$C$28</f>
        <v>5.5451031334960138E+33</v>
      </c>
      <c r="TDU28" s="613">
        <f t="shared" ref="TDU28" si="6845">TDS$28*$C$28</f>
        <v>5.6005541648309734E+33</v>
      </c>
      <c r="TDW28" s="613">
        <f t="shared" ref="TDW28" si="6846">TDU$28*$C$28</f>
        <v>5.6565597064792833E+33</v>
      </c>
      <c r="TDY28" s="613">
        <f t="shared" ref="TDY28" si="6847">TDW$28*$C$28</f>
        <v>5.7131253035440756E+33</v>
      </c>
      <c r="TEA28" s="613">
        <f t="shared" ref="TEA28" si="6848">TDY$28*$C$28</f>
        <v>5.7702565565795162E+33</v>
      </c>
      <c r="TEC28" s="613">
        <f t="shared" ref="TEC28" si="6849">TEA$28*$C$28</f>
        <v>5.8279591221453115E+33</v>
      </c>
      <c r="TEE28" s="613">
        <f t="shared" ref="TEE28" si="6850">TEC$28*$C$28</f>
        <v>5.8862387133667643E+33</v>
      </c>
      <c r="TEG28" s="613">
        <f t="shared" ref="TEG28" si="6851">TEE$28*$C$28</f>
        <v>5.9451011005004317E+33</v>
      </c>
      <c r="TEI28" s="613">
        <f t="shared" ref="TEI28" si="6852">TEG$28*$C$28</f>
        <v>6.0045521115054357E+33</v>
      </c>
      <c r="TEK28" s="613">
        <f t="shared" ref="TEK28" si="6853">TEI$28*$C$28</f>
        <v>6.0645976326204901E+33</v>
      </c>
      <c r="TEM28" s="613">
        <f t="shared" ref="TEM28" si="6854">TEK$28*$C$28</f>
        <v>6.1252436089466954E+33</v>
      </c>
      <c r="TEO28" s="613">
        <f t="shared" ref="TEO28" si="6855">TEM$28*$C$28</f>
        <v>6.1864960450361628E+33</v>
      </c>
      <c r="TEQ28" s="613">
        <f t="shared" ref="TEQ28" si="6856">TEO$28*$C$28</f>
        <v>6.248361005486525E+33</v>
      </c>
      <c r="TES28" s="613">
        <f t="shared" ref="TES28" si="6857">TEQ$28*$C$28</f>
        <v>6.3108446155413907E+33</v>
      </c>
      <c r="TEU28" s="613">
        <f t="shared" ref="TEU28" si="6858">TES$28*$C$28</f>
        <v>6.3739530616968041E+33</v>
      </c>
      <c r="TEW28" s="613">
        <f t="shared" ref="TEW28" si="6859">TEU$28*$C$28</f>
        <v>6.4376925923137728E+33</v>
      </c>
      <c r="TEY28" s="613">
        <f t="shared" ref="TEY28" si="6860">TEW$28*$C$28</f>
        <v>6.50206951823691E+33</v>
      </c>
      <c r="TFA28" s="613">
        <f t="shared" ref="TFA28" si="6861">TEY$28*$C$28</f>
        <v>6.5670902134192792E+33</v>
      </c>
      <c r="TFC28" s="613">
        <f t="shared" ref="TFC28" si="6862">TFA$28*$C$28</f>
        <v>6.6327611155534722E+33</v>
      </c>
      <c r="TFE28" s="613">
        <f t="shared" ref="TFE28" si="6863">TFC$28*$C$28</f>
        <v>6.6990887267090074E+33</v>
      </c>
      <c r="TFG28" s="613">
        <f t="shared" ref="TFG28" si="6864">TFE$28*$C$28</f>
        <v>6.7660796139760981E+33</v>
      </c>
      <c r="TFI28" s="613">
        <f t="shared" ref="TFI28" si="6865">TFG$28*$C$28</f>
        <v>6.8337404101158589E+33</v>
      </c>
      <c r="TFK28" s="613">
        <f t="shared" ref="TFK28" si="6866">TFI$28*$C$28</f>
        <v>6.9020778142170177E+33</v>
      </c>
      <c r="TFM28" s="613">
        <f t="shared" ref="TFM28" si="6867">TFK$28*$C$28</f>
        <v>6.9710985923591882E+33</v>
      </c>
      <c r="TFO28" s="613">
        <f t="shared" ref="TFO28" si="6868">TFM$28*$C$28</f>
        <v>7.0408095782827803E+33</v>
      </c>
      <c r="TFQ28" s="613">
        <f t="shared" ref="TFQ28" si="6869">TFO$28*$C$28</f>
        <v>7.1112176740656087E+33</v>
      </c>
      <c r="TFS28" s="613">
        <f t="shared" ref="TFS28" si="6870">TFQ$28*$C$28</f>
        <v>7.1823298508062648E+33</v>
      </c>
      <c r="TFU28" s="613">
        <f t="shared" ref="TFU28" si="6871">TFS$28*$C$28</f>
        <v>7.2541531493143273E+33</v>
      </c>
      <c r="TFW28" s="613">
        <f t="shared" ref="TFW28" si="6872">TFU$28*$C$28</f>
        <v>7.3266946808074703E+33</v>
      </c>
      <c r="TFY28" s="613">
        <f t="shared" ref="TFY28" si="6873">TFW$28*$C$28</f>
        <v>7.3999616276155455E+33</v>
      </c>
      <c r="TGA28" s="613">
        <f t="shared" ref="TGA28" si="6874">TFY$28*$C$28</f>
        <v>7.4739612438917007E+33</v>
      </c>
      <c r="TGC28" s="613">
        <f t="shared" ref="TGC28" si="6875">TGA$28*$C$28</f>
        <v>7.548700856330618E+33</v>
      </c>
      <c r="TGE28" s="613">
        <f t="shared" ref="TGE28" si="6876">TGC$28*$C$28</f>
        <v>7.6241878648939245E+33</v>
      </c>
      <c r="TGG28" s="613">
        <f t="shared" ref="TGG28" si="6877">TGE$28*$C$28</f>
        <v>7.7004297435428639E+33</v>
      </c>
      <c r="TGI28" s="613">
        <f t="shared" ref="TGI28" si="6878">TGG$28*$C$28</f>
        <v>7.7774340409782921E+33</v>
      </c>
      <c r="TGK28" s="613">
        <f t="shared" ref="TGK28" si="6879">TGI$28*$C$28</f>
        <v>7.855208381388075E+33</v>
      </c>
      <c r="TGM28" s="613">
        <f t="shared" ref="TGM28" si="6880">TGK$28*$C$28</f>
        <v>7.9337604652019553E+33</v>
      </c>
      <c r="TGO28" s="613">
        <f t="shared" ref="TGO28" si="6881">TGM$28*$C$28</f>
        <v>8.0130980698539754E+33</v>
      </c>
      <c r="TGQ28" s="613">
        <f t="shared" ref="TGQ28" si="6882">TGO$28*$C$28</f>
        <v>8.0932290505525156E+33</v>
      </c>
      <c r="TGS28" s="613">
        <f t="shared" ref="TGS28" si="6883">TGQ$28*$C$28</f>
        <v>8.1741613410580411E+33</v>
      </c>
      <c r="TGU28" s="613">
        <f t="shared" ref="TGU28" si="6884">TGS$28*$C$28</f>
        <v>8.2559029544686212E+33</v>
      </c>
      <c r="TGW28" s="613">
        <f t="shared" ref="TGW28" si="6885">TGU$28*$C$28</f>
        <v>8.3384619840133075E+33</v>
      </c>
      <c r="TGY28" s="613">
        <f t="shared" ref="TGY28" si="6886">TGW$28*$C$28</f>
        <v>8.4218466038534404E+33</v>
      </c>
      <c r="THA28" s="613">
        <f t="shared" ref="THA28" si="6887">TGY$28*$C$28</f>
        <v>8.5060650698919753E+33</v>
      </c>
      <c r="THC28" s="613">
        <f t="shared" ref="THC28" si="6888">THA$28*$C$28</f>
        <v>8.5911257205908956E+33</v>
      </c>
      <c r="THE28" s="613">
        <f t="shared" ref="THE28" si="6889">THC$28*$C$28</f>
        <v>8.6770369777968046E+33</v>
      </c>
      <c r="THG28" s="613">
        <f t="shared" ref="THG28" si="6890">THE$28*$C$28</f>
        <v>8.7638073475747729E+33</v>
      </c>
      <c r="THI28" s="613">
        <f t="shared" ref="THI28" si="6891">THG$28*$C$28</f>
        <v>8.8514454210505206E+33</v>
      </c>
      <c r="THK28" s="613">
        <f t="shared" ref="THK28" si="6892">THI$28*$C$28</f>
        <v>8.9399598752610261E+33</v>
      </c>
      <c r="THM28" s="613">
        <f t="shared" ref="THM28" si="6893">THK$28*$C$28</f>
        <v>9.0293594740136364E+33</v>
      </c>
      <c r="THO28" s="613">
        <f t="shared" ref="THO28" si="6894">THM$28*$C$28</f>
        <v>9.1196530687537725E+33</v>
      </c>
      <c r="THQ28" s="613">
        <f t="shared" ref="THQ28" si="6895">THO$28*$C$28</f>
        <v>9.2108495994413108E+33</v>
      </c>
      <c r="THS28" s="613">
        <f t="shared" ref="THS28" si="6896">THQ$28*$C$28</f>
        <v>9.3029580954357239E+33</v>
      </c>
      <c r="THU28" s="613">
        <f t="shared" ref="THU28" si="6897">THS$28*$C$28</f>
        <v>9.3959876763900809E+33</v>
      </c>
      <c r="THW28" s="613">
        <f t="shared" ref="THW28" si="6898">THU$28*$C$28</f>
        <v>9.4899475531539814E+33</v>
      </c>
      <c r="THY28" s="613">
        <f t="shared" ref="THY28" si="6899">THW$28*$C$28</f>
        <v>9.5848470286855209E+33</v>
      </c>
      <c r="TIA28" s="613">
        <f t="shared" ref="TIA28" si="6900">THY$28*$C$28</f>
        <v>9.6806954989723765E+33</v>
      </c>
      <c r="TIC28" s="613">
        <f t="shared" ref="TIC28" si="6901">TIA$28*$C$28</f>
        <v>9.7775024539621003E+33</v>
      </c>
      <c r="TIE28" s="613">
        <f t="shared" ref="TIE28" si="6902">TIC$28*$C$28</f>
        <v>9.875277478501722E+33</v>
      </c>
      <c r="TIG28" s="613">
        <f t="shared" ref="TIG28" si="6903">TIE$28*$C$28</f>
        <v>9.9740302532867393E+33</v>
      </c>
      <c r="TII28" s="613">
        <f t="shared" ref="TII28" si="6904">TIG$28*$C$28</f>
        <v>1.0073770555819607E+34</v>
      </c>
      <c r="TIK28" s="613">
        <f t="shared" ref="TIK28" si="6905">TII$28*$C$28</f>
        <v>1.0174508261377803E+34</v>
      </c>
      <c r="TIM28" s="613">
        <f t="shared" ref="TIM28" si="6906">TIK$28*$C$28</f>
        <v>1.027625334399158E+34</v>
      </c>
      <c r="TIO28" s="613">
        <f t="shared" ref="TIO28" si="6907">TIM$28*$C$28</f>
        <v>1.0379015877431496E+34</v>
      </c>
      <c r="TIQ28" s="613">
        <f t="shared" ref="TIQ28" si="6908">TIO$28*$C$28</f>
        <v>1.0482806036205811E+34</v>
      </c>
      <c r="TIS28" s="613">
        <f t="shared" ref="TIS28" si="6909">TIQ$28*$C$28</f>
        <v>1.0587634096567869E+34</v>
      </c>
      <c r="TIU28" s="613">
        <f t="shared" ref="TIU28" si="6910">TIS$28*$C$28</f>
        <v>1.0693510437533548E+34</v>
      </c>
      <c r="TIW28" s="613">
        <f t="shared" ref="TIW28" si="6911">TIU$28*$C$28</f>
        <v>1.0800445541908883E+34</v>
      </c>
      <c r="TIY28" s="613">
        <f t="shared" ref="TIY28" si="6912">TIW$28*$C$28</f>
        <v>1.0908449997327972E+34</v>
      </c>
      <c r="TJA28" s="613">
        <f t="shared" ref="TJA28" si="6913">TIY$28*$C$28</f>
        <v>1.1017534497301252E+34</v>
      </c>
      <c r="TJC28" s="613">
        <f t="shared" ref="TJC28" si="6914">TJA$28*$C$28</f>
        <v>1.1127709842274265E+34</v>
      </c>
      <c r="TJE28" s="613">
        <f t="shared" ref="TJE28" si="6915">TJC$28*$C$28</f>
        <v>1.1238986940697006E+34</v>
      </c>
      <c r="TJG28" s="613">
        <f t="shared" ref="TJG28" si="6916">TJE$28*$C$28</f>
        <v>1.1351376810103977E+34</v>
      </c>
      <c r="TJI28" s="613">
        <f t="shared" ref="TJI28" si="6917">TJG$28*$C$28</f>
        <v>1.1464890578205017E+34</v>
      </c>
      <c r="TJK28" s="613">
        <f t="shared" ref="TJK28" si="6918">TJI$28*$C$28</f>
        <v>1.1579539483987067E+34</v>
      </c>
      <c r="TJM28" s="613">
        <f t="shared" ref="TJM28" si="6919">TJK$28*$C$28</f>
        <v>1.1695334878826938E+34</v>
      </c>
      <c r="TJO28" s="613">
        <f t="shared" ref="TJO28" si="6920">TJM$28*$C$28</f>
        <v>1.1812288227615208E+34</v>
      </c>
      <c r="TJQ28" s="613">
        <f t="shared" ref="TJQ28" si="6921">TJO$28*$C$28</f>
        <v>1.1930411109891359E+34</v>
      </c>
      <c r="TJS28" s="613">
        <f t="shared" ref="TJS28" si="6922">TJQ$28*$C$28</f>
        <v>1.2049715220990274E+34</v>
      </c>
      <c r="TJU28" s="613">
        <f t="shared" ref="TJU28" si="6923">TJS$28*$C$28</f>
        <v>1.2170212373200176E+34</v>
      </c>
      <c r="TJW28" s="613">
        <f t="shared" ref="TJW28" si="6924">TJU$28*$C$28</f>
        <v>1.2291914496932177E+34</v>
      </c>
      <c r="TJY28" s="613">
        <f t="shared" ref="TJY28" si="6925">TJW$28*$C$28</f>
        <v>1.2414833641901499E+34</v>
      </c>
      <c r="TKA28" s="613">
        <f t="shared" ref="TKA28" si="6926">TJY$28*$C$28</f>
        <v>1.2538981978320514E+34</v>
      </c>
      <c r="TKC28" s="613">
        <f t="shared" ref="TKC28" si="6927">TKA$28*$C$28</f>
        <v>1.266437179810372E+34</v>
      </c>
      <c r="TKE28" s="613">
        <f t="shared" ref="TKE28" si="6928">TKC$28*$C$28</f>
        <v>1.2791015516084758E+34</v>
      </c>
      <c r="TKG28" s="613">
        <f t="shared" ref="TKG28" si="6929">TKE$28*$C$28</f>
        <v>1.2918925671245606E+34</v>
      </c>
      <c r="TKI28" s="613">
        <f t="shared" ref="TKI28" si="6930">TKG$28*$C$28</f>
        <v>1.3048114927958062E+34</v>
      </c>
      <c r="TKK28" s="613">
        <f t="shared" ref="TKK28" si="6931">TKI$28*$C$28</f>
        <v>1.3178596077237644E+34</v>
      </c>
      <c r="TKM28" s="613">
        <f t="shared" ref="TKM28" si="6932">TKK$28*$C$28</f>
        <v>1.331038203801002E+34</v>
      </c>
      <c r="TKO28" s="613">
        <f t="shared" ref="TKO28" si="6933">TKM$28*$C$28</f>
        <v>1.344348585839012E+34</v>
      </c>
      <c r="TKQ28" s="613">
        <f t="shared" ref="TKQ28" si="6934">TKO$28*$C$28</f>
        <v>1.3577920716974022E+34</v>
      </c>
      <c r="TKS28" s="613">
        <f t="shared" ref="TKS28" si="6935">TKQ$28*$C$28</f>
        <v>1.3713699924143763E+34</v>
      </c>
      <c r="TKU28" s="613">
        <f t="shared" ref="TKU28" si="6936">TKS$28*$C$28</f>
        <v>1.3850836923385201E+34</v>
      </c>
      <c r="TKW28" s="613">
        <f t="shared" ref="TKW28" si="6937">TKU$28*$C$28</f>
        <v>1.3989345292619053E+34</v>
      </c>
      <c r="TKY28" s="613">
        <f t="shared" ref="TKY28" si="6938">TKW$28*$C$28</f>
        <v>1.4129238745545245E+34</v>
      </c>
      <c r="TLA28" s="613">
        <f t="shared" ref="TLA28" si="6939">TKY$28*$C$28</f>
        <v>1.4270531133000697E+34</v>
      </c>
      <c r="TLC28" s="613">
        <f t="shared" ref="TLC28" si="6940">TLA$28*$C$28</f>
        <v>1.4413236444330705E+34</v>
      </c>
      <c r="TLE28" s="613">
        <f t="shared" ref="TLE28" si="6941">TLC$28*$C$28</f>
        <v>1.4557368808774011E+34</v>
      </c>
      <c r="TLG28" s="613">
        <f t="shared" ref="TLG28" si="6942">TLE$28*$C$28</f>
        <v>1.4702942496861751E+34</v>
      </c>
      <c r="TLI28" s="613">
        <f t="shared" ref="TLI28" si="6943">TLG$28*$C$28</f>
        <v>1.4849971921830369E+34</v>
      </c>
      <c r="TLK28" s="613">
        <f t="shared" ref="TLK28" si="6944">TLI$28*$C$28</f>
        <v>1.4998471641048673E+34</v>
      </c>
      <c r="TLM28" s="613">
        <f t="shared" ref="TLM28" si="6945">TLK$28*$C$28</f>
        <v>1.514845635745916E+34</v>
      </c>
      <c r="TLO28" s="613">
        <f t="shared" ref="TLO28" si="6946">TLM$28*$C$28</f>
        <v>1.5299940921033751E+34</v>
      </c>
      <c r="TLQ28" s="613">
        <f t="shared" ref="TLQ28" si="6947">TLO$28*$C$28</f>
        <v>1.5452940330244089E+34</v>
      </c>
      <c r="TLS28" s="613">
        <f t="shared" ref="TLS28" si="6948">TLQ$28*$C$28</f>
        <v>1.560746973354653E+34</v>
      </c>
      <c r="TLU28" s="613">
        <f t="shared" ref="TLU28" si="6949">TLS$28*$C$28</f>
        <v>1.5763544430881996E+34</v>
      </c>
      <c r="TLW28" s="613">
        <f t="shared" ref="TLW28" si="6950">TLU$28*$C$28</f>
        <v>1.5921179875190816E+34</v>
      </c>
      <c r="TLY28" s="613">
        <f t="shared" ref="TLY28" si="6951">TLW$28*$C$28</f>
        <v>1.6080391673942725E+34</v>
      </c>
      <c r="TMA28" s="613">
        <f t="shared" ref="TMA28" si="6952">TLY$28*$C$28</f>
        <v>1.6241195590682152E+34</v>
      </c>
      <c r="TMC28" s="613">
        <f t="shared" ref="TMC28" si="6953">TMA$28*$C$28</f>
        <v>1.6403607546588973E+34</v>
      </c>
      <c r="TME28" s="613">
        <f t="shared" ref="TME28" si="6954">TMC$28*$C$28</f>
        <v>1.6567643622054864E+34</v>
      </c>
      <c r="TMG28" s="613">
        <f t="shared" ref="TMG28" si="6955">TME$28*$C$28</f>
        <v>1.6733320058275413E+34</v>
      </c>
      <c r="TMI28" s="613">
        <f t="shared" ref="TMI28" si="6956">TMG$28*$C$28</f>
        <v>1.6900653258858167E+34</v>
      </c>
      <c r="TMK28" s="613">
        <f t="shared" ref="TMK28" si="6957">TMI$28*$C$28</f>
        <v>1.7069659791446749E+34</v>
      </c>
      <c r="TMM28" s="613">
        <f t="shared" ref="TMM28" si="6958">TMK$28*$C$28</f>
        <v>1.7240356389361216E+34</v>
      </c>
      <c r="TMO28" s="613">
        <f t="shared" ref="TMO28" si="6959">TMM$28*$C$28</f>
        <v>1.7412759953254828E+34</v>
      </c>
      <c r="TMQ28" s="613">
        <f t="shared" ref="TMQ28" si="6960">TMO$28*$C$28</f>
        <v>1.7586887552787376E+34</v>
      </c>
      <c r="TMS28" s="613">
        <f t="shared" ref="TMS28" si="6961">TMQ$28*$C$28</f>
        <v>1.7762756428315249E+34</v>
      </c>
      <c r="TMU28" s="613">
        <f t="shared" ref="TMU28" si="6962">TMS$28*$C$28</f>
        <v>1.7940383992598402E+34</v>
      </c>
      <c r="TMW28" s="613">
        <f t="shared" ref="TMW28" si="6963">TMU$28*$C$28</f>
        <v>1.8119787832524385E+34</v>
      </c>
      <c r="TMY28" s="613">
        <f t="shared" ref="TMY28" si="6964">TMW$28*$C$28</f>
        <v>1.8300985710849628E+34</v>
      </c>
      <c r="TNA28" s="613">
        <f t="shared" ref="TNA28" si="6965">TMY$28*$C$28</f>
        <v>1.8483995567958123E+34</v>
      </c>
      <c r="TNC28" s="613">
        <f t="shared" ref="TNC28" si="6966">TNA$28*$C$28</f>
        <v>1.8668835523637705E+34</v>
      </c>
      <c r="TNE28" s="613">
        <f t="shared" ref="TNE28" si="6967">TNC$28*$C$28</f>
        <v>1.8855523878874082E+34</v>
      </c>
      <c r="TNG28" s="613">
        <f t="shared" ref="TNG28" si="6968">TNE$28*$C$28</f>
        <v>1.9044079117662822E+34</v>
      </c>
      <c r="TNI28" s="613">
        <f t="shared" ref="TNI28" si="6969">TNG$28*$C$28</f>
        <v>1.9234519908839451E+34</v>
      </c>
      <c r="TNK28" s="613">
        <f t="shared" ref="TNK28" si="6970">TNI$28*$C$28</f>
        <v>1.9426865107927847E+34</v>
      </c>
      <c r="TNM28" s="613">
        <f t="shared" ref="TNM28" si="6971">TNK$28*$C$28</f>
        <v>1.9621133759007126E+34</v>
      </c>
      <c r="TNO28" s="613">
        <f t="shared" ref="TNO28" si="6972">TNM$28*$C$28</f>
        <v>1.9817345096597197E+34</v>
      </c>
      <c r="TNQ28" s="613">
        <f t="shared" ref="TNQ28" si="6973">TNO$28*$C$28</f>
        <v>2.001551854756317E+34</v>
      </c>
      <c r="TNS28" s="613">
        <f t="shared" ref="TNS28" si="6974">TNQ$28*$C$28</f>
        <v>2.0215673733038803E+34</v>
      </c>
      <c r="TNU28" s="613">
        <f t="shared" ref="TNU28" si="6975">TNS$28*$C$28</f>
        <v>2.041783047036919E+34</v>
      </c>
      <c r="TNW28" s="613">
        <f t="shared" ref="TNW28" si="6976">TNU$28*$C$28</f>
        <v>2.0622008775072882E+34</v>
      </c>
      <c r="TNY28" s="613">
        <f t="shared" ref="TNY28" si="6977">TNW$28*$C$28</f>
        <v>2.082822886282361E+34</v>
      </c>
      <c r="TOA28" s="613">
        <f t="shared" ref="TOA28" si="6978">TNY$28*$C$28</f>
        <v>2.1036511151451844E+34</v>
      </c>
      <c r="TOC28" s="613">
        <f t="shared" ref="TOC28" si="6979">TOA$28*$C$28</f>
        <v>2.1246876262966362E+34</v>
      </c>
      <c r="TOE28" s="613">
        <f t="shared" ref="TOE28" si="6980">TOC$28*$C$28</f>
        <v>2.1459345025596027E+34</v>
      </c>
      <c r="TOG28" s="613">
        <f t="shared" ref="TOG28" si="6981">TOE$28*$C$28</f>
        <v>2.1673938475851985E+34</v>
      </c>
      <c r="TOI28" s="613">
        <f t="shared" ref="TOI28" si="6982">TOG$28*$C$28</f>
        <v>2.1890677860610506E+34</v>
      </c>
      <c r="TOK28" s="613">
        <f t="shared" ref="TOK28" si="6983">TOI$28*$C$28</f>
        <v>2.2109584639216613E+34</v>
      </c>
      <c r="TOM28" s="613">
        <f t="shared" ref="TOM28" si="6984">TOK$28*$C$28</f>
        <v>2.2330680485608781E+34</v>
      </c>
      <c r="TOO28" s="613">
        <f t="shared" ref="TOO28" si="6985">TOM$28*$C$28</f>
        <v>2.2553987290464867E+34</v>
      </c>
      <c r="TOQ28" s="613">
        <f t="shared" ref="TOQ28" si="6986">TOO$28*$C$28</f>
        <v>2.2779527163369516E+34</v>
      </c>
      <c r="TOS28" s="613">
        <f t="shared" ref="TOS28" si="6987">TOQ$28*$C$28</f>
        <v>2.3007322435003214E+34</v>
      </c>
      <c r="TOU28" s="613">
        <f t="shared" ref="TOU28" si="6988">TOS$28*$C$28</f>
        <v>2.3237395659353246E+34</v>
      </c>
      <c r="TOW28" s="613">
        <f t="shared" ref="TOW28" si="6989">TOU$28*$C$28</f>
        <v>2.3469769615946778E+34</v>
      </c>
      <c r="TOY28" s="613">
        <f t="shared" ref="TOY28" si="6990">TOW$28*$C$28</f>
        <v>2.3704467312106248E+34</v>
      </c>
      <c r="TPA28" s="613">
        <f t="shared" ref="TPA28" si="6991">TOY$28*$C$28</f>
        <v>2.3941511985227308E+34</v>
      </c>
      <c r="TPC28" s="613">
        <f t="shared" ref="TPC28" si="6992">TPA$28*$C$28</f>
        <v>2.418092710507958E+34</v>
      </c>
      <c r="TPE28" s="613">
        <f t="shared" ref="TPE28" si="6993">TPC$28*$C$28</f>
        <v>2.4422736376130377E+34</v>
      </c>
      <c r="TPG28" s="613">
        <f t="shared" ref="TPG28" si="6994">TPE$28*$C$28</f>
        <v>2.4666963739891682E+34</v>
      </c>
      <c r="TPI28" s="613">
        <f t="shared" ref="TPI28" si="6995">TPG$28*$C$28</f>
        <v>2.4913633377290597E+34</v>
      </c>
      <c r="TPK28" s="613">
        <f t="shared" ref="TPK28" si="6996">TPI$28*$C$28</f>
        <v>2.5162769711063504E+34</v>
      </c>
      <c r="TPM28" s="613">
        <f t="shared" ref="TPM28" si="6997">TPK$28*$C$28</f>
        <v>2.5414397408174139E+34</v>
      </c>
      <c r="TPO28" s="613">
        <f t="shared" ref="TPO28" si="6998">TPM$28*$C$28</f>
        <v>2.5668541382255882E+34</v>
      </c>
      <c r="TPQ28" s="613">
        <f t="shared" ref="TPQ28" si="6999">TPO$28*$C$28</f>
        <v>2.5925226796078442E+34</v>
      </c>
      <c r="TPS28" s="613">
        <f t="shared" ref="TPS28" si="7000">TPQ$28*$C$28</f>
        <v>2.6184479064039225E+34</v>
      </c>
      <c r="TPU28" s="613">
        <f t="shared" ref="TPU28" si="7001">TPS$28*$C$28</f>
        <v>2.6446323854679616E+34</v>
      </c>
      <c r="TPW28" s="613">
        <f t="shared" ref="TPW28" si="7002">TPU$28*$C$28</f>
        <v>2.6710787093226414E+34</v>
      </c>
      <c r="TPY28" s="613">
        <f t="shared" ref="TPY28" si="7003">TPW$28*$C$28</f>
        <v>2.6977894964158679E+34</v>
      </c>
      <c r="TQA28" s="613">
        <f t="shared" ref="TQA28" si="7004">TPY$28*$C$28</f>
        <v>2.7247673913800265E+34</v>
      </c>
      <c r="TQC28" s="613">
        <f t="shared" ref="TQC28" si="7005">TQA$28*$C$28</f>
        <v>2.7520150652938269E+34</v>
      </c>
      <c r="TQE28" s="613">
        <f t="shared" ref="TQE28" si="7006">TQC$28*$C$28</f>
        <v>2.7795352159467652E+34</v>
      </c>
      <c r="TQG28" s="613">
        <f t="shared" ref="TQG28" si="7007">TQE$28*$C$28</f>
        <v>2.8073305681062328E+34</v>
      </c>
      <c r="TQI28" s="613">
        <f t="shared" ref="TQI28" si="7008">TQG$28*$C$28</f>
        <v>2.8354038737872952E+34</v>
      </c>
      <c r="TQK28" s="613">
        <f t="shared" ref="TQK28" si="7009">TQI$28*$C$28</f>
        <v>2.8637579125251682E+34</v>
      </c>
      <c r="TQM28" s="613">
        <f t="shared" ref="TQM28" si="7010">TQK$28*$C$28</f>
        <v>2.8923954916504199E+34</v>
      </c>
      <c r="TQO28" s="613">
        <f t="shared" ref="TQO28" si="7011">TQM$28*$C$28</f>
        <v>2.921319446566924E+34</v>
      </c>
      <c r="TQQ28" s="613">
        <f t="shared" ref="TQQ28" si="7012">TQO$28*$C$28</f>
        <v>2.9505326410325932E+34</v>
      </c>
      <c r="TQS28" s="613">
        <f t="shared" ref="TQS28" si="7013">TQQ$28*$C$28</f>
        <v>2.9800379674429193E+34</v>
      </c>
      <c r="TQU28" s="613">
        <f t="shared" ref="TQU28" si="7014">TQS$28*$C$28</f>
        <v>3.0098383471173485E+34</v>
      </c>
      <c r="TQW28" s="613">
        <f t="shared" ref="TQW28" si="7015">TQU$28*$C$28</f>
        <v>3.0399367305885219E+34</v>
      </c>
      <c r="TQY28" s="613">
        <f t="shared" ref="TQY28" si="7016">TQW$28*$C$28</f>
        <v>3.070336097894407E+34</v>
      </c>
      <c r="TRA28" s="613">
        <f t="shared" ref="TRA28" si="7017">TQY$28*$C$28</f>
        <v>3.1010394588733512E+34</v>
      </c>
      <c r="TRC28" s="613">
        <f t="shared" ref="TRC28" si="7018">TRA$28*$C$28</f>
        <v>3.1320498534620847E+34</v>
      </c>
      <c r="TRE28" s="613">
        <f t="shared" ref="TRE28" si="7019">TRC$28*$C$28</f>
        <v>3.1633703519967055E+34</v>
      </c>
      <c r="TRG28" s="613">
        <f t="shared" ref="TRG28" si="7020">TRE$28*$C$28</f>
        <v>3.1950040555166725E+34</v>
      </c>
      <c r="TRI28" s="613">
        <f t="shared" ref="TRI28" si="7021">TRG$28*$C$28</f>
        <v>3.2269540960718394E+34</v>
      </c>
      <c r="TRK28" s="613">
        <f t="shared" ref="TRK28" si="7022">TRI$28*$C$28</f>
        <v>3.259223637032558E+34</v>
      </c>
      <c r="TRM28" s="613">
        <f t="shared" ref="TRM28" si="7023">TRK$28*$C$28</f>
        <v>3.2918158734028835E+34</v>
      </c>
      <c r="TRO28" s="613">
        <f t="shared" ref="TRO28" si="7024">TRM$28*$C$28</f>
        <v>3.3247340321369125E+34</v>
      </c>
      <c r="TRQ28" s="613">
        <f t="shared" ref="TRQ28" si="7025">TRO$28*$C$28</f>
        <v>3.3579813724582818E+34</v>
      </c>
      <c r="TRS28" s="613">
        <f t="shared" ref="TRS28" si="7026">TRQ$28*$C$28</f>
        <v>3.3915611861828649E+34</v>
      </c>
      <c r="TRU28" s="613">
        <f t="shared" ref="TRU28" si="7027">TRS$28*$C$28</f>
        <v>3.4254767980446938E+34</v>
      </c>
      <c r="TRW28" s="613">
        <f t="shared" ref="TRW28" si="7028">TRU$28*$C$28</f>
        <v>3.4597315660251407E+34</v>
      </c>
      <c r="TRY28" s="613">
        <f t="shared" ref="TRY28" si="7029">TRW$28*$C$28</f>
        <v>3.4943288816853923E+34</v>
      </c>
      <c r="TSA28" s="613">
        <f t="shared" ref="TSA28" si="7030">TRY$28*$C$28</f>
        <v>3.5292721705022462E+34</v>
      </c>
      <c r="TSC28" s="613">
        <f t="shared" ref="TSC28" si="7031">TSA$28*$C$28</f>
        <v>3.5645648922072686E+34</v>
      </c>
      <c r="TSE28" s="613">
        <f t="shared" ref="TSE28" si="7032">TSC$28*$C$28</f>
        <v>3.6002105411293414E+34</v>
      </c>
      <c r="TSG28" s="613">
        <f t="shared" ref="TSG28" si="7033">TSE$28*$C$28</f>
        <v>3.6362126465406349E+34</v>
      </c>
      <c r="TSI28" s="613">
        <f t="shared" ref="TSI28" si="7034">TSG$28*$C$28</f>
        <v>3.6725747730060415E+34</v>
      </c>
      <c r="TSK28" s="613">
        <f t="shared" ref="TSK28" si="7035">TSI$28*$C$28</f>
        <v>3.7093005207361018E+34</v>
      </c>
      <c r="TSM28" s="613">
        <f t="shared" ref="TSM28" si="7036">TSK$28*$C$28</f>
        <v>3.7463935259434629E+34</v>
      </c>
      <c r="TSO28" s="613">
        <f t="shared" ref="TSO28" si="7037">TSM$28*$C$28</f>
        <v>3.7838574612028977E+34</v>
      </c>
      <c r="TSQ28" s="613">
        <f t="shared" ref="TSQ28" si="7038">TSO$28*$C$28</f>
        <v>3.8216960358149265E+34</v>
      </c>
      <c r="TSS28" s="613">
        <f t="shared" ref="TSS28" si="7039">TSQ$28*$C$28</f>
        <v>3.8599129961730759E+34</v>
      </c>
      <c r="TSU28" s="613">
        <f t="shared" ref="TSU28" si="7040">TSS$28*$C$28</f>
        <v>3.8985121261348069E+34</v>
      </c>
      <c r="TSW28" s="613">
        <f t="shared" ref="TSW28" si="7041">TSU$28*$C$28</f>
        <v>3.937497247396155E+34</v>
      </c>
      <c r="TSY28" s="613">
        <f t="shared" ref="TSY28" si="7042">TSW$28*$C$28</f>
        <v>3.9768722198701165E+34</v>
      </c>
      <c r="TTA28" s="613">
        <f t="shared" ref="TTA28" si="7043">TSY$28*$C$28</f>
        <v>4.0166409420688179E+34</v>
      </c>
      <c r="TTC28" s="613">
        <f t="shared" ref="TTC28" si="7044">TTA$28*$C$28</f>
        <v>4.0568073514895062E+34</v>
      </c>
      <c r="TTE28" s="613">
        <f t="shared" ref="TTE28" si="7045">TTC$28*$C$28</f>
        <v>4.0973754250044014E+34</v>
      </c>
      <c r="TTG28" s="613">
        <f t="shared" ref="TTG28" si="7046">TTE$28*$C$28</f>
        <v>4.1383491792544455E+34</v>
      </c>
      <c r="TTI28" s="613">
        <f t="shared" ref="TTI28" si="7047">TTG$28*$C$28</f>
        <v>4.1797326710469902E+34</v>
      </c>
      <c r="TTK28" s="613">
        <f t="shared" ref="TTK28" si="7048">TTI$28*$C$28</f>
        <v>4.2215299977574602E+34</v>
      </c>
      <c r="TTM28" s="613">
        <f t="shared" ref="TTM28" si="7049">TTK$28*$C$28</f>
        <v>4.2637452977350351E+34</v>
      </c>
      <c r="TTO28" s="613">
        <f t="shared" ref="TTO28" si="7050">TTM$28*$C$28</f>
        <v>4.3063827507123857E+34</v>
      </c>
      <c r="TTQ28" s="613">
        <f t="shared" ref="TTQ28" si="7051">TTO$28*$C$28</f>
        <v>4.3494465782195098E+34</v>
      </c>
      <c r="TTS28" s="613">
        <f t="shared" ref="TTS28" si="7052">TTQ$28*$C$28</f>
        <v>4.3929410440017045E+34</v>
      </c>
      <c r="TTU28" s="613">
        <f t="shared" ref="TTU28" si="7053">TTS$28*$C$28</f>
        <v>4.4368704544417217E+34</v>
      </c>
      <c r="TTW28" s="613">
        <f t="shared" ref="TTW28" si="7054">TTU$28*$C$28</f>
        <v>4.4812391589861393E+34</v>
      </c>
      <c r="TTY28" s="613">
        <f t="shared" ref="TTY28" si="7055">TTW$28*$C$28</f>
        <v>4.5260515505760008E+34</v>
      </c>
      <c r="TUA28" s="613">
        <f t="shared" ref="TUA28" si="7056">TTY$28*$C$28</f>
        <v>4.5713120660817609E+34</v>
      </c>
      <c r="TUC28" s="613">
        <f t="shared" ref="TUC28" si="7057">TUA$28*$C$28</f>
        <v>4.6170251867425781E+34</v>
      </c>
      <c r="TUE28" s="613">
        <f t="shared" ref="TUE28" si="7058">TUC$28*$C$28</f>
        <v>4.6631954386100039E+34</v>
      </c>
      <c r="TUG28" s="613">
        <f t="shared" ref="TUG28" si="7059">TUE$28*$C$28</f>
        <v>4.7098273929961043E+34</v>
      </c>
      <c r="TUI28" s="613">
        <f t="shared" ref="TUI28" si="7060">TUG$28*$C$28</f>
        <v>4.7569256669260652E+34</v>
      </c>
      <c r="TUK28" s="613">
        <f t="shared" ref="TUK28" si="7061">TUI$28*$C$28</f>
        <v>4.8044949235953259E+34</v>
      </c>
      <c r="TUM28" s="613">
        <f t="shared" ref="TUM28" si="7062">TUK$28*$C$28</f>
        <v>4.8525398728312789E+34</v>
      </c>
      <c r="TUO28" s="613">
        <f t="shared" ref="TUO28" si="7063">TUM$28*$C$28</f>
        <v>4.9010652715595916E+34</v>
      </c>
      <c r="TUQ28" s="613">
        <f t="shared" ref="TUQ28" si="7064">TUO$28*$C$28</f>
        <v>4.9500759242751878E+34</v>
      </c>
      <c r="TUS28" s="613">
        <f t="shared" ref="TUS28" si="7065">TUQ$28*$C$28</f>
        <v>4.9995766835179402E+34</v>
      </c>
      <c r="TUU28" s="613">
        <f t="shared" ref="TUU28" si="7066">TUS$28*$C$28</f>
        <v>5.0495724503531194E+34</v>
      </c>
      <c r="TUW28" s="613">
        <f t="shared" ref="TUW28" si="7067">TUU$28*$C$28</f>
        <v>5.1000681748566505E+34</v>
      </c>
      <c r="TUY28" s="613">
        <f t="shared" ref="TUY28" si="7068">TUW$28*$C$28</f>
        <v>5.1510688566052174E+34</v>
      </c>
      <c r="TVA28" s="613">
        <f t="shared" ref="TVA28" si="7069">TUY$28*$C$28</f>
        <v>5.2025795451712696E+34</v>
      </c>
      <c r="TVC28" s="613">
        <f t="shared" ref="TVC28" si="7070">TVA$28*$C$28</f>
        <v>5.2546053406229819E+34</v>
      </c>
      <c r="TVE28" s="613">
        <f t="shared" ref="TVE28" si="7071">TVC$28*$C$28</f>
        <v>5.307151394029212E+34</v>
      </c>
      <c r="TVG28" s="613">
        <f t="shared" ref="TVG28" si="7072">TVE$28*$C$28</f>
        <v>5.3602229079695046E+34</v>
      </c>
      <c r="TVI28" s="613">
        <f t="shared" ref="TVI28" si="7073">TVG$28*$C$28</f>
        <v>5.4138251370491996E+34</v>
      </c>
      <c r="TVK28" s="613">
        <f t="shared" ref="TVK28" si="7074">TVI$28*$C$28</f>
        <v>5.4679633884196918E+34</v>
      </c>
      <c r="TVM28" s="613">
        <f t="shared" ref="TVM28" si="7075">TVK$28*$C$28</f>
        <v>5.5226430223038885E+34</v>
      </c>
      <c r="TVO28" s="613">
        <f t="shared" ref="TVO28" si="7076">TVM$28*$C$28</f>
        <v>5.5778694525269275E+34</v>
      </c>
      <c r="TVQ28" s="613">
        <f t="shared" ref="TVQ28" si="7077">TVO$28*$C$28</f>
        <v>5.6336481470521965E+34</v>
      </c>
      <c r="TVS28" s="613">
        <f t="shared" ref="TVS28" si="7078">TVQ$28*$C$28</f>
        <v>5.6899846285227182E+34</v>
      </c>
      <c r="TVU28" s="613">
        <f t="shared" ref="TVU28" si="7079">TVS$28*$C$28</f>
        <v>5.7468844748079458E+34</v>
      </c>
      <c r="TVW28" s="613">
        <f t="shared" ref="TVW28" si="7080">TVU$28*$C$28</f>
        <v>5.8043533195560253E+34</v>
      </c>
      <c r="TVY28" s="613">
        <f t="shared" ref="TVY28" si="7081">TVW$28*$C$28</f>
        <v>5.8623968527515856E+34</v>
      </c>
      <c r="TWA28" s="613">
        <f t="shared" ref="TWA28" si="7082">TVY$28*$C$28</f>
        <v>5.9210208212791019E+34</v>
      </c>
      <c r="TWC28" s="613">
        <f t="shared" ref="TWC28" si="7083">TWA$28*$C$28</f>
        <v>5.9802310294918929E+34</v>
      </c>
      <c r="TWE28" s="613">
        <f t="shared" ref="TWE28" si="7084">TWC$28*$C$28</f>
        <v>6.0400333397868115E+34</v>
      </c>
      <c r="TWG28" s="613">
        <f t="shared" ref="TWG28" si="7085">TWE$28*$C$28</f>
        <v>6.1004336731846793E+34</v>
      </c>
      <c r="TWI28" s="613">
        <f t="shared" ref="TWI28" si="7086">TWG$28*$C$28</f>
        <v>6.1614380099165265E+34</v>
      </c>
      <c r="TWK28" s="613">
        <f t="shared" ref="TWK28" si="7087">TWI$28*$C$28</f>
        <v>6.2230523900156921E+34</v>
      </c>
      <c r="TWM28" s="613">
        <f t="shared" ref="TWM28" si="7088">TWK$28*$C$28</f>
        <v>6.2852829139158488E+34</v>
      </c>
      <c r="TWO28" s="613">
        <f t="shared" ref="TWO28" si="7089">TWM$28*$C$28</f>
        <v>6.3481357430550074E+34</v>
      </c>
      <c r="TWQ28" s="613">
        <f t="shared" ref="TWQ28" si="7090">TWO$28*$C$28</f>
        <v>6.4116171004855573E+34</v>
      </c>
      <c r="TWS28" s="613">
        <f t="shared" ref="TWS28" si="7091">TWQ$28*$C$28</f>
        <v>6.4757332714904133E+34</v>
      </c>
      <c r="TWU28" s="613">
        <f t="shared" ref="TWU28" si="7092">TWS$28*$C$28</f>
        <v>6.5404906042053177E+34</v>
      </c>
      <c r="TWW28" s="613">
        <f t="shared" ref="TWW28" si="7093">TWU$28*$C$28</f>
        <v>6.6058955102473706E+34</v>
      </c>
      <c r="TWY28" s="613">
        <f t="shared" ref="TWY28" si="7094">TWW$28*$C$28</f>
        <v>6.6719544653498439E+34</v>
      </c>
      <c r="TXA28" s="613">
        <f t="shared" ref="TXA28" si="7095">TWY$28*$C$28</f>
        <v>6.7386740100033427E+34</v>
      </c>
      <c r="TXC28" s="613">
        <f t="shared" ref="TXC28" si="7096">TXA$28*$C$28</f>
        <v>6.8060607501033759E+34</v>
      </c>
      <c r="TXE28" s="613">
        <f t="shared" ref="TXE28" si="7097">TXC$28*$C$28</f>
        <v>6.8741213576044096E+34</v>
      </c>
      <c r="TXG28" s="613">
        <f t="shared" ref="TXG28" si="7098">TXE$28*$C$28</f>
        <v>6.9428625711804536E+34</v>
      </c>
      <c r="TXI28" s="613">
        <f t="shared" ref="TXI28" si="7099">TXG$28*$C$28</f>
        <v>7.0122911968922578E+34</v>
      </c>
      <c r="TXK28" s="613">
        <f t="shared" ref="TXK28" si="7100">TXI$28*$C$28</f>
        <v>7.0824141088611807E+34</v>
      </c>
      <c r="TXM28" s="613">
        <f t="shared" ref="TXM28" si="7101">TXK$28*$C$28</f>
        <v>7.1532382499497927E+34</v>
      </c>
      <c r="TXO28" s="613">
        <f t="shared" ref="TXO28" si="7102">TXM$28*$C$28</f>
        <v>7.2247706324492909E+34</v>
      </c>
      <c r="TXQ28" s="613">
        <f t="shared" ref="TXQ28" si="7103">TXO$28*$C$28</f>
        <v>7.2970183387737838E+34</v>
      </c>
      <c r="TXS28" s="613">
        <f t="shared" ref="TXS28" si="7104">TXQ$28*$C$28</f>
        <v>7.3699885221615216E+34</v>
      </c>
      <c r="TXU28" s="613">
        <f t="shared" ref="TXU28" si="7105">TXS$28*$C$28</f>
        <v>7.4436884073831373E+34</v>
      </c>
      <c r="TXW28" s="613">
        <f t="shared" ref="TXW28" si="7106">TXU$28*$C$28</f>
        <v>7.518125291456969E+34</v>
      </c>
      <c r="TXY28" s="613">
        <f t="shared" ref="TXY28" si="7107">TXW$28*$C$28</f>
        <v>7.593306544371539E+34</v>
      </c>
      <c r="TYA28" s="613">
        <f t="shared" ref="TYA28" si="7108">TXY$28*$C$28</f>
        <v>7.6692396098152542E+34</v>
      </c>
      <c r="TYC28" s="613">
        <f t="shared" ref="TYC28" si="7109">TYA$28*$C$28</f>
        <v>7.745932005913407E+34</v>
      </c>
      <c r="TYE28" s="613">
        <f t="shared" ref="TYE28" si="7110">TYC$28*$C$28</f>
        <v>7.8233913259725409E+34</v>
      </c>
      <c r="TYG28" s="613">
        <f t="shared" ref="TYG28" si="7111">TYE$28*$C$28</f>
        <v>7.9016252392322665E+34</v>
      </c>
      <c r="TYI28" s="613">
        <f t="shared" ref="TYI28" si="7112">TYG$28*$C$28</f>
        <v>7.980641491624589E+34</v>
      </c>
      <c r="TYK28" s="613">
        <f t="shared" ref="TYK28" si="7113">TYI$28*$C$28</f>
        <v>8.0604479065408345E+34</v>
      </c>
      <c r="TYM28" s="613">
        <f t="shared" ref="TYM28" si="7114">TYK$28*$C$28</f>
        <v>8.1410523856062428E+34</v>
      </c>
      <c r="TYO28" s="613">
        <f t="shared" ref="TYO28" si="7115">TYM$28*$C$28</f>
        <v>8.2224629094623053E+34</v>
      </c>
      <c r="TYQ28" s="613">
        <f t="shared" ref="TYQ28" si="7116">TYO$28*$C$28</f>
        <v>8.3046875385569283E+34</v>
      </c>
      <c r="TYS28" s="613">
        <f t="shared" ref="TYS28" si="7117">TYQ$28*$C$28</f>
        <v>8.3877344139424983E+34</v>
      </c>
      <c r="TYU28" s="613">
        <f t="shared" ref="TYU28" si="7118">TYS$28*$C$28</f>
        <v>8.4716117580819225E+34</v>
      </c>
      <c r="TYW28" s="613">
        <f t="shared" ref="TYW28" si="7119">TYU$28*$C$28</f>
        <v>8.5563278756627421E+34</v>
      </c>
      <c r="TYY28" s="613">
        <f t="shared" ref="TYY28" si="7120">TYW$28*$C$28</f>
        <v>8.6418911544193692E+34</v>
      </c>
      <c r="TZA28" s="613">
        <f t="shared" ref="TZA28" si="7121">TYY$28*$C$28</f>
        <v>8.7283100659635634E+34</v>
      </c>
      <c r="TZC28" s="613">
        <f t="shared" ref="TZC28" si="7122">TZA$28*$C$28</f>
        <v>8.8155931666231992E+34</v>
      </c>
      <c r="TZE28" s="613">
        <f t="shared" ref="TZE28" si="7123">TZC$28*$C$28</f>
        <v>8.9037490982894308E+34</v>
      </c>
      <c r="TZG28" s="613">
        <f t="shared" ref="TZG28" si="7124">TZE$28*$C$28</f>
        <v>8.9927865892723246E+34</v>
      </c>
      <c r="TZI28" s="613">
        <f t="shared" ref="TZI28" si="7125">TZG$28*$C$28</f>
        <v>9.0827144551650482E+34</v>
      </c>
      <c r="TZK28" s="613">
        <f t="shared" ref="TZK28" si="7126">TZI$28*$C$28</f>
        <v>9.1735415997166983E+34</v>
      </c>
      <c r="TZM28" s="613">
        <f t="shared" ref="TZM28" si="7127">TZK$28*$C$28</f>
        <v>9.2652770157138653E+34</v>
      </c>
      <c r="TZO28" s="613">
        <f t="shared" ref="TZO28" si="7128">TZM$28*$C$28</f>
        <v>9.3579297858710041E+34</v>
      </c>
      <c r="TZQ28" s="613">
        <f t="shared" ref="TZQ28" si="7129">TZO$28*$C$28</f>
        <v>9.4515090837297146E+34</v>
      </c>
      <c r="TZS28" s="613">
        <f t="shared" ref="TZS28" si="7130">TZQ$28*$C$28</f>
        <v>9.5460241745670114E+34</v>
      </c>
      <c r="TZU28" s="613">
        <f t="shared" ref="TZU28" si="7131">TZS$28*$C$28</f>
        <v>9.6414844163126825E+34</v>
      </c>
      <c r="TZW28" s="613">
        <f t="shared" ref="TZW28" si="7132">TZU$28*$C$28</f>
        <v>9.7378992604758098E+34</v>
      </c>
      <c r="TZY28" s="613">
        <f t="shared" ref="TZY28" si="7133">TZW$28*$C$28</f>
        <v>9.8352782530805673E+34</v>
      </c>
      <c r="UAA28" s="613">
        <f t="shared" ref="UAA28" si="7134">TZY$28*$C$28</f>
        <v>9.9336310356113731E+34</v>
      </c>
      <c r="UAC28" s="613">
        <f t="shared" ref="UAC28" si="7135">UAA$28*$C$28</f>
        <v>1.0032967345967486E+35</v>
      </c>
      <c r="UAE28" s="613">
        <f t="shared" ref="UAE28" si="7136">UAC$28*$C$28</f>
        <v>1.013329701942716E+35</v>
      </c>
      <c r="UAG28" s="613">
        <f t="shared" ref="UAG28" si="7137">UAE$28*$C$28</f>
        <v>1.0234629989621432E+35</v>
      </c>
      <c r="UAI28" s="613">
        <f t="shared" ref="UAI28" si="7138">UAG$28*$C$28</f>
        <v>1.0336976289517646E+35</v>
      </c>
      <c r="UAK28" s="613">
        <f t="shared" ref="UAK28" si="7139">UAI$28*$C$28</f>
        <v>1.0440346052412822E+35</v>
      </c>
      <c r="UAM28" s="613">
        <f t="shared" ref="UAM28" si="7140">UAK$28*$C$28</f>
        <v>1.054474951293695E+35</v>
      </c>
      <c r="UAO28" s="613">
        <f t="shared" ref="UAO28" si="7141">UAM$28*$C$28</f>
        <v>1.065019700806632E+35</v>
      </c>
      <c r="UAQ28" s="613">
        <f t="shared" ref="UAQ28" si="7142">UAO$28*$C$28</f>
        <v>1.0756698978146984E+35</v>
      </c>
      <c r="UAS28" s="613">
        <f t="shared" ref="UAS28" si="7143">UAQ$28*$C$28</f>
        <v>1.0864265967928454E+35</v>
      </c>
      <c r="UAU28" s="613">
        <f t="shared" ref="UAU28" si="7144">UAS$28*$C$28</f>
        <v>1.0972908627607739E+35</v>
      </c>
      <c r="UAW28" s="613">
        <f t="shared" ref="UAW28" si="7145">UAU$28*$C$28</f>
        <v>1.1082637713883816E+35</v>
      </c>
      <c r="UAY28" s="613">
        <f t="shared" ref="UAY28" si="7146">UAW$28*$C$28</f>
        <v>1.1193464091022654E+35</v>
      </c>
      <c r="UBA28" s="613">
        <f t="shared" ref="UBA28" si="7147">UAY$28*$C$28</f>
        <v>1.130539873193288E+35</v>
      </c>
      <c r="UBC28" s="613">
        <f t="shared" ref="UBC28" si="7148">UBA$28*$C$28</f>
        <v>1.141845271925221E+35</v>
      </c>
      <c r="UBE28" s="613">
        <f t="shared" ref="UBE28" si="7149">UBC$28*$C$28</f>
        <v>1.1532637246444732E+35</v>
      </c>
      <c r="UBG28" s="613">
        <f t="shared" ref="UBG28" si="7150">UBE$28*$C$28</f>
        <v>1.1647963618909179E+35</v>
      </c>
      <c r="UBI28" s="613">
        <f t="shared" ref="UBI28" si="7151">UBG$28*$C$28</f>
        <v>1.176444325509827E+35</v>
      </c>
      <c r="UBK28" s="613">
        <f t="shared" ref="UBK28" si="7152">UBI$28*$C$28</f>
        <v>1.1882087687649253E+35</v>
      </c>
      <c r="UBM28" s="613">
        <f t="shared" ref="UBM28" si="7153">UBK$28*$C$28</f>
        <v>1.2000908564525746E+35</v>
      </c>
      <c r="UBO28" s="613">
        <f t="shared" ref="UBO28" si="7154">UBM$28*$C$28</f>
        <v>1.2120917650171004E+35</v>
      </c>
      <c r="UBQ28" s="613">
        <f t="shared" ref="UBQ28" si="7155">UBO$28*$C$28</f>
        <v>1.2242126826672715E+35</v>
      </c>
      <c r="UBS28" s="613">
        <f t="shared" ref="UBS28" si="7156">UBQ$28*$C$28</f>
        <v>1.2364548094939442E+35</v>
      </c>
      <c r="UBU28" s="613">
        <f t="shared" ref="UBU28" si="7157">UBS$28*$C$28</f>
        <v>1.2488193575888836E+35</v>
      </c>
      <c r="UBW28" s="613">
        <f t="shared" ref="UBW28" si="7158">UBU$28*$C$28</f>
        <v>1.2613075511647724E+35</v>
      </c>
      <c r="UBY28" s="613">
        <f t="shared" ref="UBY28" si="7159">UBW$28*$C$28</f>
        <v>1.2739206266764202E+35</v>
      </c>
      <c r="UCA28" s="613">
        <f t="shared" ref="UCA28" si="7160">UBY$28*$C$28</f>
        <v>1.2866598329431845E+35</v>
      </c>
      <c r="UCC28" s="613">
        <f t="shared" ref="UCC28" si="7161">UCA$28*$C$28</f>
        <v>1.2995264312726163E+35</v>
      </c>
      <c r="UCE28" s="613">
        <f t="shared" ref="UCE28" si="7162">UCC$28*$C$28</f>
        <v>1.3125216955853425E+35</v>
      </c>
      <c r="UCG28" s="613">
        <f t="shared" ref="UCG28" si="7163">UCE$28*$C$28</f>
        <v>1.3256469125411958E+35</v>
      </c>
      <c r="UCI28" s="613">
        <f t="shared" ref="UCI28" si="7164">UCG$28*$C$28</f>
        <v>1.3389033816666077E+35</v>
      </c>
      <c r="UCK28" s="613">
        <f t="shared" ref="UCK28" si="7165">UCI$28*$C$28</f>
        <v>1.3522924154832738E+35</v>
      </c>
      <c r="UCM28" s="613">
        <f t="shared" ref="UCM28" si="7166">UCK$28*$C$28</f>
        <v>1.3658153396381065E+35</v>
      </c>
      <c r="UCO28" s="613">
        <f t="shared" ref="UCO28" si="7167">UCM$28*$C$28</f>
        <v>1.3794734930344876E+35</v>
      </c>
      <c r="UCQ28" s="613">
        <f t="shared" ref="UCQ28" si="7168">UCO$28*$C$28</f>
        <v>1.3932682279648325E+35</v>
      </c>
      <c r="UCS28" s="613">
        <f t="shared" ref="UCS28" si="7169">UCQ$28*$C$28</f>
        <v>1.4072009102444808E+35</v>
      </c>
      <c r="UCU28" s="613">
        <f t="shared" ref="UCU28" si="7170">UCS$28*$C$28</f>
        <v>1.4212729193469255E+35</v>
      </c>
      <c r="UCW28" s="613">
        <f t="shared" ref="UCW28" si="7171">UCU$28*$C$28</f>
        <v>1.4354856485403949E+35</v>
      </c>
      <c r="UCY28" s="613">
        <f t="shared" ref="UCY28" si="7172">UCW$28*$C$28</f>
        <v>1.4498405050257988E+35</v>
      </c>
      <c r="UDA28" s="613">
        <f t="shared" ref="UDA28" si="7173">UCY$28*$C$28</f>
        <v>1.4643389100760569E+35</v>
      </c>
      <c r="UDC28" s="613">
        <f t="shared" ref="UDC28" si="7174">UDA$28*$C$28</f>
        <v>1.4789822991768175E+35</v>
      </c>
      <c r="UDE28" s="613">
        <f t="shared" ref="UDE28" si="7175">UDC$28*$C$28</f>
        <v>1.4937721221685857E+35</v>
      </c>
      <c r="UDG28" s="613">
        <f t="shared" ref="UDG28" si="7176">UDE$28*$C$28</f>
        <v>1.5087098433902716E+35</v>
      </c>
      <c r="UDI28" s="613">
        <f t="shared" ref="UDI28" si="7177">UDG$28*$C$28</f>
        <v>1.5237969418241743E+35</v>
      </c>
      <c r="UDK28" s="613">
        <f t="shared" ref="UDK28" si="7178">UDI$28*$C$28</f>
        <v>1.5390349112424161E+35</v>
      </c>
      <c r="UDM28" s="613">
        <f t="shared" ref="UDM28" si="7179">UDK$28*$C$28</f>
        <v>1.5544252603548402E+35</v>
      </c>
      <c r="UDO28" s="613">
        <f t="shared" ref="UDO28" si="7180">UDM$28*$C$28</f>
        <v>1.5699695129583886E+35</v>
      </c>
      <c r="UDQ28" s="613">
        <f t="shared" ref="UDQ28" si="7181">UDO$28*$C$28</f>
        <v>1.5856692080879725E+35</v>
      </c>
      <c r="UDS28" s="613">
        <f t="shared" ref="UDS28" si="7182">UDQ$28*$C$28</f>
        <v>1.6015259001688523E+35</v>
      </c>
      <c r="UDU28" s="613">
        <f t="shared" ref="UDU28" si="7183">UDS$28*$C$28</f>
        <v>1.6175411591705409E+35</v>
      </c>
      <c r="UDW28" s="613">
        <f t="shared" ref="UDW28" si="7184">UDU$28*$C$28</f>
        <v>1.6337165707622463E+35</v>
      </c>
      <c r="UDY28" s="613">
        <f t="shared" ref="UDY28" si="7185">UDW$28*$C$28</f>
        <v>1.6500537364698688E+35</v>
      </c>
      <c r="UEA28" s="613">
        <f t="shared" ref="UEA28" si="7186">UDY$28*$C$28</f>
        <v>1.6665542738345676E+35</v>
      </c>
      <c r="UEC28" s="613">
        <f t="shared" ref="UEC28" si="7187">UEA$28*$C$28</f>
        <v>1.6832198165729132E+35</v>
      </c>
      <c r="UEE28" s="613">
        <f t="shared" ref="UEE28" si="7188">UEC$28*$C$28</f>
        <v>1.7000520147386423E+35</v>
      </c>
      <c r="UEG28" s="613">
        <f t="shared" ref="UEG28" si="7189">UEE$28*$C$28</f>
        <v>1.7170525348860288E+35</v>
      </c>
      <c r="UEI28" s="613">
        <f t="shared" ref="UEI28" si="7190">UEG$28*$C$28</f>
        <v>1.7342230602348889E+35</v>
      </c>
      <c r="UEK28" s="613">
        <f t="shared" ref="UEK28" si="7191">UEI$28*$C$28</f>
        <v>1.7515652908372378E+35</v>
      </c>
      <c r="UEM28" s="613">
        <f t="shared" ref="UEM28" si="7192">UEK$28*$C$28</f>
        <v>1.76908094374561E+35</v>
      </c>
      <c r="UEO28" s="613">
        <f t="shared" ref="UEO28" si="7193">UEM$28*$C$28</f>
        <v>1.7867717531830659E+35</v>
      </c>
      <c r="UEQ28" s="613">
        <f t="shared" ref="UEQ28" si="7194">UEO$28*$C$28</f>
        <v>1.8046394707148965E+35</v>
      </c>
      <c r="UES28" s="613">
        <f t="shared" ref="UES28" si="7195">UEQ$28*$C$28</f>
        <v>1.8226858654220456E+35</v>
      </c>
      <c r="UEU28" s="613">
        <f t="shared" ref="UEU28" si="7196">UES$28*$C$28</f>
        <v>1.840912724076266E+35</v>
      </c>
      <c r="UEW28" s="613">
        <f t="shared" ref="UEW28" si="7197">UEU$28*$C$28</f>
        <v>1.8593218513170285E+35</v>
      </c>
      <c r="UEY28" s="613">
        <f t="shared" ref="UEY28" si="7198">UEW$28*$C$28</f>
        <v>1.8779150698301987E+35</v>
      </c>
      <c r="UFA28" s="613">
        <f t="shared" ref="UFA28" si="7199">UEY$28*$C$28</f>
        <v>1.8966942205285006E+35</v>
      </c>
      <c r="UFC28" s="613">
        <f t="shared" ref="UFC28" si="7200">UFA$28*$C$28</f>
        <v>1.9156611627337858E+35</v>
      </c>
      <c r="UFE28" s="613">
        <f t="shared" ref="UFE28" si="7201">UFC$28*$C$28</f>
        <v>1.9348177743611237E+35</v>
      </c>
      <c r="UFG28" s="613">
        <f t="shared" ref="UFG28" si="7202">UFE$28*$C$28</f>
        <v>1.9541659521047351E+35</v>
      </c>
      <c r="UFI28" s="613">
        <f t="shared" ref="UFI28" si="7203">UFG$28*$C$28</f>
        <v>1.9737076116257825E+35</v>
      </c>
      <c r="UFK28" s="613">
        <f t="shared" ref="UFK28" si="7204">UFI$28*$C$28</f>
        <v>1.9934446877420402E+35</v>
      </c>
      <c r="UFM28" s="613">
        <f t="shared" ref="UFM28" si="7205">UFK$28*$C$28</f>
        <v>2.0133791346194605E+35</v>
      </c>
      <c r="UFO28" s="613">
        <f t="shared" ref="UFO28" si="7206">UFM$28*$C$28</f>
        <v>2.0335129259656551E+35</v>
      </c>
      <c r="UFQ28" s="613">
        <f t="shared" ref="UFQ28" si="7207">UFO$28*$C$28</f>
        <v>2.0538480552253117E+35</v>
      </c>
      <c r="UFS28" s="613">
        <f t="shared" ref="UFS28" si="7208">UFQ$28*$C$28</f>
        <v>2.0743865357775647E+35</v>
      </c>
      <c r="UFU28" s="613">
        <f t="shared" ref="UFU28" si="7209">UFS$28*$C$28</f>
        <v>2.0951304011353404E+35</v>
      </c>
      <c r="UFW28" s="613">
        <f t="shared" ref="UFW28" si="7210">UFU$28*$C$28</f>
        <v>2.1160817051466938E+35</v>
      </c>
      <c r="UFY28" s="613">
        <f t="shared" ref="UFY28" si="7211">UFW$28*$C$28</f>
        <v>2.1372425221981607E+35</v>
      </c>
      <c r="UGA28" s="613">
        <f t="shared" ref="UGA28" si="7212">UFY$28*$C$28</f>
        <v>2.1586149474201423E+35</v>
      </c>
      <c r="UGC28" s="613">
        <f t="shared" ref="UGC28" si="7213">UGA$28*$C$28</f>
        <v>2.1802010968943437E+35</v>
      </c>
      <c r="UGE28" s="613">
        <f t="shared" ref="UGE28" si="7214">UGC$28*$C$28</f>
        <v>2.2020031078632871E+35</v>
      </c>
      <c r="UGG28" s="613">
        <f t="shared" ref="UGG28" si="7215">UGE$28*$C$28</f>
        <v>2.2240231389419199E+35</v>
      </c>
      <c r="UGI28" s="613">
        <f t="shared" ref="UGI28" si="7216">UGG$28*$C$28</f>
        <v>2.2462633703313392E+35</v>
      </c>
      <c r="UGK28" s="613">
        <f t="shared" ref="UGK28" si="7217">UGI$28*$C$28</f>
        <v>2.2687260040346526E+35</v>
      </c>
      <c r="UGM28" s="613">
        <f t="shared" ref="UGM28" si="7218">UGK$28*$C$28</f>
        <v>2.291413264074999E+35</v>
      </c>
      <c r="UGO28" s="613">
        <f t="shared" ref="UGO28" si="7219">UGM$28*$C$28</f>
        <v>2.3143273967157489E+35</v>
      </c>
      <c r="UGQ28" s="613">
        <f t="shared" ref="UGQ28" si="7220">UGO$28*$C$28</f>
        <v>2.3374706706829062E+35</v>
      </c>
      <c r="UGS28" s="613">
        <f t="shared" ref="UGS28" si="7221">UGQ$28*$C$28</f>
        <v>2.3608453773897353E+35</v>
      </c>
      <c r="UGU28" s="613">
        <f t="shared" ref="UGU28" si="7222">UGS$28*$C$28</f>
        <v>2.3844538311636327E+35</v>
      </c>
      <c r="UGW28" s="613">
        <f t="shared" ref="UGW28" si="7223">UGU$28*$C$28</f>
        <v>2.4082983694752691E+35</v>
      </c>
      <c r="UGY28" s="613">
        <f t="shared" ref="UGY28" si="7224">UGW$28*$C$28</f>
        <v>2.4323813531700219E+35</v>
      </c>
      <c r="UHA28" s="613">
        <f t="shared" ref="UHA28" si="7225">UGY$28*$C$28</f>
        <v>2.4567051667017221E+35</v>
      </c>
      <c r="UHC28" s="613">
        <f t="shared" ref="UHC28" si="7226">UHA$28*$C$28</f>
        <v>2.4812722183687392E+35</v>
      </c>
      <c r="UHE28" s="613">
        <f t="shared" ref="UHE28" si="7227">UHC$28*$C$28</f>
        <v>2.5060849405524266E+35</v>
      </c>
      <c r="UHG28" s="613">
        <f t="shared" ref="UHG28" si="7228">UHE$28*$C$28</f>
        <v>2.531145789957951E+35</v>
      </c>
      <c r="UHI28" s="613">
        <f t="shared" ref="UHI28" si="7229">UHG$28*$C$28</f>
        <v>2.5564572478575306E+35</v>
      </c>
      <c r="UHK28" s="613">
        <f t="shared" ref="UHK28" si="7230">UHI$28*$C$28</f>
        <v>2.5820218203361059E+35</v>
      </c>
      <c r="UHM28" s="613">
        <f t="shared" ref="UHM28" si="7231">UHK$28*$C$28</f>
        <v>2.6078420385394671E+35</v>
      </c>
      <c r="UHO28" s="613">
        <f t="shared" ref="UHO28" si="7232">UHM$28*$C$28</f>
        <v>2.6339204589248618E+35</v>
      </c>
      <c r="UHQ28" s="613">
        <f t="shared" ref="UHQ28" si="7233">UHO$28*$C$28</f>
        <v>2.6602596635141105E+35</v>
      </c>
      <c r="UHS28" s="613">
        <f t="shared" ref="UHS28" si="7234">UHQ$28*$C$28</f>
        <v>2.6868622601492516E+35</v>
      </c>
      <c r="UHU28" s="613">
        <f t="shared" ref="UHU28" si="7235">UHS$28*$C$28</f>
        <v>2.713730882750744E+35</v>
      </c>
      <c r="UHW28" s="613">
        <f t="shared" ref="UHW28" si="7236">UHU$28*$C$28</f>
        <v>2.7408681915782515E+35</v>
      </c>
      <c r="UHY28" s="613">
        <f t="shared" ref="UHY28" si="7237">UHW$28*$C$28</f>
        <v>2.768276873494034E+35</v>
      </c>
      <c r="UIA28" s="613">
        <f t="shared" ref="UIA28" si="7238">UHY$28*$C$28</f>
        <v>2.7959596422289742E+35</v>
      </c>
      <c r="UIC28" s="613">
        <f t="shared" ref="UIC28" si="7239">UIA$28*$C$28</f>
        <v>2.8239192386512639E+35</v>
      </c>
      <c r="UIE28" s="613">
        <f t="shared" ref="UIE28" si="7240">UIC$28*$C$28</f>
        <v>2.8521584310377766E+35</v>
      </c>
      <c r="UIG28" s="613">
        <f t="shared" ref="UIG28" si="7241">UIE$28*$C$28</f>
        <v>2.8806800153481543E+35</v>
      </c>
      <c r="UII28" s="613">
        <f t="shared" ref="UII28" si="7242">UIG$28*$C$28</f>
        <v>2.9094868155016358E+35</v>
      </c>
      <c r="UIK28" s="613">
        <f t="shared" ref="UIK28" si="7243">UII$28*$C$28</f>
        <v>2.9385816836566521E+35</v>
      </c>
      <c r="UIM28" s="613">
        <f t="shared" ref="UIM28" si="7244">UIK$28*$C$28</f>
        <v>2.9679675004932185E+35</v>
      </c>
      <c r="UIO28" s="613">
        <f t="shared" ref="UIO28" si="7245">UIM$28*$C$28</f>
        <v>2.9976471754981507E+35</v>
      </c>
      <c r="UIQ28" s="613">
        <f t="shared" ref="UIQ28" si="7246">UIO$28*$C$28</f>
        <v>3.0276236472531321E+35</v>
      </c>
      <c r="UIS28" s="613">
        <f t="shared" ref="UIS28" si="7247">UIQ$28*$C$28</f>
        <v>3.0578998837256633E+35</v>
      </c>
      <c r="UIU28" s="613">
        <f t="shared" ref="UIU28" si="7248">UIS$28*$C$28</f>
        <v>3.0884788825629198E+35</v>
      </c>
      <c r="UIW28" s="613">
        <f t="shared" ref="UIW28" si="7249">UIU$28*$C$28</f>
        <v>3.119363671388549E+35</v>
      </c>
      <c r="UIY28" s="613">
        <f t="shared" ref="UIY28" si="7250">UIW$28*$C$28</f>
        <v>3.1505573081024347E+35</v>
      </c>
      <c r="UJA28" s="613">
        <f t="shared" ref="UJA28" si="7251">UIY$28*$C$28</f>
        <v>3.1820628811834592E+35</v>
      </c>
      <c r="UJC28" s="613">
        <f t="shared" ref="UJC28" si="7252">UJA$28*$C$28</f>
        <v>3.2138835099952939E+35</v>
      </c>
      <c r="UJE28" s="613">
        <f t="shared" ref="UJE28" si="7253">UJC$28*$C$28</f>
        <v>3.2460223450952468E+35</v>
      </c>
      <c r="UJG28" s="613">
        <f t="shared" ref="UJG28" si="7254">UJE$28*$C$28</f>
        <v>3.2784825685461993E+35</v>
      </c>
      <c r="UJI28" s="613">
        <f t="shared" ref="UJI28" si="7255">UJG$28*$C$28</f>
        <v>3.3112673942316612E+35</v>
      </c>
      <c r="UJK28" s="613">
        <f t="shared" ref="UJK28" si="7256">UJI$28*$C$28</f>
        <v>3.344380068173978E+35</v>
      </c>
      <c r="UJM28" s="613">
        <f t="shared" ref="UJM28" si="7257">UJK$28*$C$28</f>
        <v>3.3778238688557177E+35</v>
      </c>
      <c r="UJO28" s="613">
        <f t="shared" ref="UJO28" si="7258">UJM$28*$C$28</f>
        <v>3.4116021075442753E+35</v>
      </c>
      <c r="UJQ28" s="613">
        <f t="shared" ref="UJQ28" si="7259">UJO$28*$C$28</f>
        <v>3.4457181286197178E+35</v>
      </c>
      <c r="UJS28" s="613">
        <f t="shared" ref="UJS28" si="7260">UJQ$28*$C$28</f>
        <v>3.4801753099059147E+35</v>
      </c>
      <c r="UJU28" s="613">
        <f t="shared" ref="UJU28" si="7261">UJS$28*$C$28</f>
        <v>3.5149770630049738E+35</v>
      </c>
      <c r="UJW28" s="613">
        <f t="shared" ref="UJW28" si="7262">UJU$28*$C$28</f>
        <v>3.5501268336350236E+35</v>
      </c>
      <c r="UJY28" s="613">
        <f t="shared" ref="UJY28" si="7263">UJW$28*$C$28</f>
        <v>3.5856281019713737E+35</v>
      </c>
      <c r="UKA28" s="613">
        <f t="shared" ref="UKA28" si="7264">UJY$28*$C$28</f>
        <v>3.6214843829910878E+35</v>
      </c>
      <c r="UKC28" s="613">
        <f t="shared" ref="UKC28" si="7265">UKA$28*$C$28</f>
        <v>3.6576992268209988E+35</v>
      </c>
      <c r="UKE28" s="613">
        <f t="shared" ref="UKE28" si="7266">UKC$28*$C$28</f>
        <v>3.6942762190892092E+35</v>
      </c>
      <c r="UKG28" s="613">
        <f t="shared" ref="UKG28" si="7267">UKE$28*$C$28</f>
        <v>3.7312189812801015E+35</v>
      </c>
      <c r="UKI28" s="613">
        <f t="shared" ref="UKI28" si="7268">UKG$28*$C$28</f>
        <v>3.7685311710929026E+35</v>
      </c>
      <c r="UKK28" s="613">
        <f t="shared" ref="UKK28" si="7269">UKI$28*$C$28</f>
        <v>3.8062164828038314E+35</v>
      </c>
      <c r="UKM28" s="613">
        <f t="shared" ref="UKM28" si="7270">UKK$28*$C$28</f>
        <v>3.84427864763187E+35</v>
      </c>
      <c r="UKO28" s="613">
        <f t="shared" ref="UKO28" si="7271">UKM$28*$C$28</f>
        <v>3.8827214341081884E+35</v>
      </c>
      <c r="UKQ28" s="613">
        <f t="shared" ref="UKQ28" si="7272">UKO$28*$C$28</f>
        <v>3.9215486484492705E+35</v>
      </c>
      <c r="UKS28" s="613">
        <f t="shared" ref="UKS28" si="7273">UKQ$28*$C$28</f>
        <v>3.9607641349337635E+35</v>
      </c>
      <c r="UKU28" s="613">
        <f t="shared" ref="UKU28" si="7274">UKS$28*$C$28</f>
        <v>4.000371776283101E+35</v>
      </c>
      <c r="UKW28" s="613">
        <f t="shared" ref="UKW28" si="7275">UKU$28*$C$28</f>
        <v>4.040375494045932E+35</v>
      </c>
      <c r="UKY28" s="613">
        <f t="shared" ref="UKY28" si="7276">UKW$28*$C$28</f>
        <v>4.0807792489863911E+35</v>
      </c>
      <c r="ULA28" s="613">
        <f t="shared" ref="ULA28" si="7277">UKY$28*$C$28</f>
        <v>4.1215870414762549E+35</v>
      </c>
      <c r="ULC28" s="613">
        <f t="shared" ref="ULC28" si="7278">ULA$28*$C$28</f>
        <v>4.1628029118910172E+35</v>
      </c>
      <c r="ULE28" s="613">
        <f t="shared" ref="ULE28" si="7279">ULC$28*$C$28</f>
        <v>4.2044309410099272E+35</v>
      </c>
      <c r="ULG28" s="613">
        <f t="shared" ref="ULG28" si="7280">ULE$28*$C$28</f>
        <v>4.2464752504200265E+35</v>
      </c>
      <c r="ULI28" s="613">
        <f t="shared" ref="ULI28" si="7281">ULG$28*$C$28</f>
        <v>4.2889400029242271E+35</v>
      </c>
      <c r="ULK28" s="613">
        <f t="shared" ref="ULK28" si="7282">ULI$28*$C$28</f>
        <v>4.3318294029534691E+35</v>
      </c>
      <c r="ULM28" s="613">
        <f t="shared" ref="ULM28" si="7283">ULK$28*$C$28</f>
        <v>4.3751476969830036E+35</v>
      </c>
      <c r="ULO28" s="613">
        <f t="shared" ref="ULO28" si="7284">ULM$28*$C$28</f>
        <v>4.4188991739528336E+35</v>
      </c>
      <c r="ULQ28" s="613">
        <f t="shared" ref="ULQ28" si="7285">ULO$28*$C$28</f>
        <v>4.4630881656923621E+35</v>
      </c>
      <c r="ULS28" s="613">
        <f t="shared" ref="ULS28" si="7286">ULQ$28*$C$28</f>
        <v>4.5077190473492857E+35</v>
      </c>
      <c r="ULU28" s="613">
        <f t="shared" ref="ULU28" si="7287">ULS$28*$C$28</f>
        <v>4.5527962378227787E+35</v>
      </c>
      <c r="ULW28" s="613">
        <f t="shared" ref="ULW28" si="7288">ULU$28*$C$28</f>
        <v>4.5983242002010064E+35</v>
      </c>
      <c r="ULY28" s="613">
        <f t="shared" ref="ULY28" si="7289">ULW$28*$C$28</f>
        <v>4.6443074422030169E+35</v>
      </c>
      <c r="UMA28" s="613">
        <f t="shared" ref="UMA28" si="7290">ULY$28*$C$28</f>
        <v>4.6907505166250471E+35</v>
      </c>
      <c r="UMC28" s="613">
        <f t="shared" ref="UMC28" si="7291">UMA$28*$C$28</f>
        <v>4.7376580217912978E+35</v>
      </c>
      <c r="UME28" s="613">
        <f t="shared" ref="UME28" si="7292">UMC$28*$C$28</f>
        <v>4.785034602009211E+35</v>
      </c>
      <c r="UMG28" s="613">
        <f t="shared" ref="UMG28" si="7293">UME$28*$C$28</f>
        <v>4.8328849480293033E+35</v>
      </c>
      <c r="UMI28" s="613">
        <f t="shared" ref="UMI28" si="7294">UMG$28*$C$28</f>
        <v>4.8812137975095961E+35</v>
      </c>
      <c r="UMK28" s="613">
        <f t="shared" ref="UMK28" si="7295">UMI$28*$C$28</f>
        <v>4.9300259354846924E+35</v>
      </c>
      <c r="UMM28" s="613">
        <f t="shared" ref="UMM28" si="7296">UMK$28*$C$28</f>
        <v>4.9793261948395394E+35</v>
      </c>
      <c r="UMO28" s="613">
        <f t="shared" ref="UMO28" si="7297">UMM$28*$C$28</f>
        <v>5.0291194567879351E+35</v>
      </c>
      <c r="UMQ28" s="613">
        <f t="shared" ref="UMQ28" si="7298">UMO$28*$C$28</f>
        <v>5.0794106513558149E+35</v>
      </c>
      <c r="UMS28" s="613">
        <f t="shared" ref="UMS28" si="7299">UMQ$28*$C$28</f>
        <v>5.1302047578693731E+35</v>
      </c>
      <c r="UMU28" s="613">
        <f t="shared" ref="UMU28" si="7300">UMS$28*$C$28</f>
        <v>5.1815068054480668E+35</v>
      </c>
      <c r="UMW28" s="613">
        <f t="shared" ref="UMW28" si="7301">UMU$28*$C$28</f>
        <v>5.2333218735025473E+35</v>
      </c>
      <c r="UMY28" s="613">
        <f t="shared" ref="UMY28" si="7302">UMW$28*$C$28</f>
        <v>5.2856550922375727E+35</v>
      </c>
      <c r="UNA28" s="613">
        <f t="shared" ref="UNA28" si="7303">UMY$28*$C$28</f>
        <v>5.3385116431599483E+35</v>
      </c>
      <c r="UNC28" s="613">
        <f t="shared" ref="UNC28" si="7304">UNA$28*$C$28</f>
        <v>5.391896759591548E+35</v>
      </c>
      <c r="UNE28" s="613">
        <f t="shared" ref="UNE28" si="7305">UNC$28*$C$28</f>
        <v>5.4458157271874636E+35</v>
      </c>
      <c r="UNG28" s="613">
        <f t="shared" ref="UNG28" si="7306">UNE$28*$C$28</f>
        <v>5.5002738844593385E+35</v>
      </c>
      <c r="UNI28" s="613">
        <f t="shared" ref="UNI28" si="7307">UNG$28*$C$28</f>
        <v>5.5552766233039317E+35</v>
      </c>
      <c r="UNK28" s="613">
        <f t="shared" ref="UNK28" si="7308">UNI$28*$C$28</f>
        <v>5.6108293895369712E+35</v>
      </c>
      <c r="UNM28" s="613">
        <f t="shared" ref="UNM28" si="7309">UNK$28*$C$28</f>
        <v>5.6669376834323411E+35</v>
      </c>
      <c r="UNO28" s="613">
        <f t="shared" ref="UNO28" si="7310">UNM$28*$C$28</f>
        <v>5.7236070602666649E+35</v>
      </c>
      <c r="UNQ28" s="613">
        <f t="shared" ref="UNQ28" si="7311">UNO$28*$C$28</f>
        <v>5.7808431308693315E+35</v>
      </c>
      <c r="UNS28" s="613">
        <f t="shared" ref="UNS28" si="7312">UNQ$28*$C$28</f>
        <v>5.8386515621780245E+35</v>
      </c>
      <c r="UNU28" s="613">
        <f t="shared" ref="UNU28" si="7313">UNS$28*$C$28</f>
        <v>5.8970380777998045E+35</v>
      </c>
      <c r="UNW28" s="613">
        <f t="shared" ref="UNW28" si="7314">UNU$28*$C$28</f>
        <v>5.9560084585778029E+35</v>
      </c>
      <c r="UNY28" s="613">
        <f t="shared" ref="UNY28" si="7315">UNW$28*$C$28</f>
        <v>6.0155685431635807E+35</v>
      </c>
      <c r="UOA28" s="613">
        <f t="shared" ref="UOA28" si="7316">UNY$28*$C$28</f>
        <v>6.0757242285952168E+35</v>
      </c>
      <c r="UOC28" s="613">
        <f t="shared" ref="UOC28" si="7317">UOA$28*$C$28</f>
        <v>6.136481470881169E+35</v>
      </c>
      <c r="UOE28" s="613">
        <f t="shared" ref="UOE28" si="7318">UOC$28*$C$28</f>
        <v>6.1978462855899807E+35</v>
      </c>
      <c r="UOG28" s="613">
        <f t="shared" ref="UOG28" si="7319">UOE$28*$C$28</f>
        <v>6.2598247484458802E+35</v>
      </c>
      <c r="UOI28" s="613">
        <f t="shared" ref="UOI28" si="7320">UOG$28*$C$28</f>
        <v>6.3224229959303387E+35</v>
      </c>
      <c r="UOK28" s="613">
        <f t="shared" ref="UOK28" si="7321">UOI$28*$C$28</f>
        <v>6.3856472258896422E+35</v>
      </c>
      <c r="UOM28" s="613">
        <f t="shared" ref="UOM28" si="7322">UOK$28*$C$28</f>
        <v>6.4495036981485388E+35</v>
      </c>
      <c r="UOO28" s="613">
        <f t="shared" ref="UOO28" si="7323">UOM$28*$C$28</f>
        <v>6.513998735130024E+35</v>
      </c>
      <c r="UOQ28" s="613">
        <f t="shared" ref="UOQ28" si="7324">UOO$28*$C$28</f>
        <v>6.5791387224813246E+35</v>
      </c>
      <c r="UOS28" s="613">
        <f t="shared" ref="UOS28" si="7325">UOQ$28*$C$28</f>
        <v>6.6449301097061379E+35</v>
      </c>
      <c r="UOU28" s="613">
        <f t="shared" ref="UOU28" si="7326">UOS$28*$C$28</f>
        <v>6.7113794108031995E+35</v>
      </c>
      <c r="UOW28" s="613">
        <f t="shared" ref="UOW28" si="7327">UOU$28*$C$28</f>
        <v>6.7784932049112319E+35</v>
      </c>
      <c r="UOY28" s="613">
        <f t="shared" ref="UOY28" si="7328">UOW$28*$C$28</f>
        <v>6.8462781369603447E+35</v>
      </c>
      <c r="UPA28" s="613">
        <f t="shared" ref="UPA28" si="7329">UOY$28*$C$28</f>
        <v>6.9147409183299487E+35</v>
      </c>
      <c r="UPC28" s="613">
        <f t="shared" ref="UPC28" si="7330">UPA$28*$C$28</f>
        <v>6.9838883275132476E+35</v>
      </c>
      <c r="UPE28" s="613">
        <f t="shared" ref="UPE28" si="7331">UPC$28*$C$28</f>
        <v>7.0537272107883807E+35</v>
      </c>
      <c r="UPG28" s="613">
        <f t="shared" ref="UPG28" si="7332">UPE$28*$C$28</f>
        <v>7.1242644828962652E+35</v>
      </c>
      <c r="UPI28" s="613">
        <f t="shared" ref="UPI28" si="7333">UPG$28*$C$28</f>
        <v>7.1955071277252278E+35</v>
      </c>
      <c r="UPK28" s="613">
        <f t="shared" ref="UPK28" si="7334">UPI$28*$C$28</f>
        <v>7.2674621990024795E+35</v>
      </c>
      <c r="UPM28" s="613">
        <f t="shared" ref="UPM28" si="7335">UPK$28*$C$28</f>
        <v>7.3401368209925038E+35</v>
      </c>
      <c r="UPO28" s="613">
        <f t="shared" ref="UPO28" si="7336">UPM$28*$C$28</f>
        <v>7.4135381892024292E+35</v>
      </c>
      <c r="UPQ28" s="613">
        <f t="shared" ref="UPQ28" si="7337">UPO$28*$C$28</f>
        <v>7.4876735710944542E+35</v>
      </c>
      <c r="UPS28" s="613">
        <f t="shared" ref="UPS28" si="7338">UPQ$28*$C$28</f>
        <v>7.5625503068053986E+35</v>
      </c>
      <c r="UPU28" s="613">
        <f t="shared" ref="UPU28" si="7339">UPS$28*$C$28</f>
        <v>7.6381758098734521E+35</v>
      </c>
      <c r="UPW28" s="613">
        <f t="shared" ref="UPW28" si="7340">UPU$28*$C$28</f>
        <v>7.7145575679721867E+35</v>
      </c>
      <c r="UPY28" s="613">
        <f t="shared" ref="UPY28" si="7341">UPW$28*$C$28</f>
        <v>7.7917031436519092E+35</v>
      </c>
      <c r="UQA28" s="613">
        <f t="shared" ref="UQA28" si="7342">UPY$28*$C$28</f>
        <v>7.8696201750884289E+35</v>
      </c>
      <c r="UQC28" s="613">
        <f t="shared" ref="UQC28" si="7343">UQA$28*$C$28</f>
        <v>7.9483163768393125E+35</v>
      </c>
      <c r="UQE28" s="613">
        <f t="shared" ref="UQE28" si="7344">UQC$28*$C$28</f>
        <v>8.0277995406077063E+35</v>
      </c>
      <c r="UQG28" s="613">
        <f t="shared" ref="UQG28" si="7345">UQE$28*$C$28</f>
        <v>8.1080775360137829E+35</v>
      </c>
      <c r="UQI28" s="613">
        <f t="shared" ref="UQI28" si="7346">UQG$28*$C$28</f>
        <v>8.1891583113739205E+35</v>
      </c>
      <c r="UQK28" s="613">
        <f t="shared" ref="UQK28" si="7347">UQI$28*$C$28</f>
        <v>8.27104989448766E+35</v>
      </c>
      <c r="UQM28" s="613">
        <f t="shared" ref="UQM28" si="7348">UQK$28*$C$28</f>
        <v>8.3537603934325366E+35</v>
      </c>
      <c r="UQO28" s="613">
        <f t="shared" ref="UQO28" si="7349">UQM$28*$C$28</f>
        <v>8.4372979973668616E+35</v>
      </c>
      <c r="UQQ28" s="613">
        <f t="shared" ref="UQQ28" si="7350">UQO$28*$C$28</f>
        <v>8.5216709773405307E+35</v>
      </c>
      <c r="UQS28" s="613">
        <f t="shared" ref="UQS28" si="7351">UQQ$28*$C$28</f>
        <v>8.6068876871139368E+35</v>
      </c>
      <c r="UQU28" s="613">
        <f t="shared" ref="UQU28" si="7352">UQS$28*$C$28</f>
        <v>8.6929565639850762E+35</v>
      </c>
      <c r="UQW28" s="613">
        <f t="shared" ref="UQW28" si="7353">UQU$28*$C$28</f>
        <v>8.7798861296249268E+35</v>
      </c>
      <c r="UQY28" s="613">
        <f t="shared" ref="UQY28" si="7354">UQW$28*$C$28</f>
        <v>8.8676849909211763E+35</v>
      </c>
      <c r="URA28" s="613">
        <f t="shared" ref="URA28" si="7355">UQY$28*$C$28</f>
        <v>8.9563618408303888E+35</v>
      </c>
      <c r="URC28" s="613">
        <f t="shared" ref="URC28" si="7356">URA$28*$C$28</f>
        <v>9.0459254592386925E+35</v>
      </c>
      <c r="URE28" s="613">
        <f t="shared" ref="URE28" si="7357">URC$28*$C$28</f>
        <v>9.136384713831079E+35</v>
      </c>
      <c r="URG28" s="613">
        <f t="shared" ref="URG28" si="7358">URE$28*$C$28</f>
        <v>9.2277485609693901E+35</v>
      </c>
      <c r="URI28" s="613">
        <f t="shared" ref="URI28" si="7359">URG$28*$C$28</f>
        <v>9.3200260465790836E+35</v>
      </c>
      <c r="URK28" s="613">
        <f t="shared" ref="URK28" si="7360">URI$28*$C$28</f>
        <v>9.4132263070448747E+35</v>
      </c>
      <c r="URM28" s="613">
        <f t="shared" ref="URM28" si="7361">URK$28*$C$28</f>
        <v>9.5073585701153243E+35</v>
      </c>
      <c r="URO28" s="613">
        <f t="shared" ref="URO28" si="7362">URM$28*$C$28</f>
        <v>9.6024321558164779E+35</v>
      </c>
      <c r="URQ28" s="613">
        <f t="shared" ref="URQ28" si="7363">URO$28*$C$28</f>
        <v>9.6984564773746433E+35</v>
      </c>
      <c r="URS28" s="613">
        <f t="shared" ref="URS28" si="7364">URQ$28*$C$28</f>
        <v>9.7954410421483903E+35</v>
      </c>
      <c r="URU28" s="613">
        <f t="shared" ref="URU28" si="7365">URS$28*$C$28</f>
        <v>9.893395452569875E+35</v>
      </c>
      <c r="URW28" s="613">
        <f t="shared" ref="URW28" si="7366">URU$28*$C$28</f>
        <v>9.9923294070955731E+35</v>
      </c>
      <c r="URY28" s="613">
        <f t="shared" ref="URY28" si="7367">URW$28*$C$28</f>
        <v>1.0092252701166529E+36</v>
      </c>
      <c r="USA28" s="613">
        <f t="shared" ref="USA28" si="7368">URY$28*$C$28</f>
        <v>1.0193175228178194E+36</v>
      </c>
      <c r="USC28" s="613">
        <f t="shared" ref="USC28" si="7369">USA$28*$C$28</f>
        <v>1.0295106980459976E+36</v>
      </c>
      <c r="USE28" s="613">
        <f t="shared" ref="USE28" si="7370">USC$28*$C$28</f>
        <v>1.0398058050264576E+36</v>
      </c>
      <c r="USG28" s="613">
        <f t="shared" ref="USG28" si="7371">USE$28*$C$28</f>
        <v>1.0502038630767221E+36</v>
      </c>
      <c r="USI28" s="613">
        <f t="shared" ref="USI28" si="7372">USG$28*$C$28</f>
        <v>1.0607059017074893E+36</v>
      </c>
      <c r="USK28" s="613">
        <f t="shared" ref="USK28" si="7373">USI$28*$C$28</f>
        <v>1.0713129607245642E+36</v>
      </c>
      <c r="USM28" s="613">
        <f t="shared" ref="USM28" si="7374">USK$28*$C$28</f>
        <v>1.0820260903318099E+36</v>
      </c>
      <c r="USO28" s="613">
        <f t="shared" ref="USO28" si="7375">USM$28*$C$28</f>
        <v>1.092846351235128E+36</v>
      </c>
      <c r="USQ28" s="613">
        <f t="shared" ref="USQ28" si="7376">USO$28*$C$28</f>
        <v>1.1037748147474793E+36</v>
      </c>
      <c r="USS28" s="613">
        <f t="shared" ref="USS28" si="7377">USQ$28*$C$28</f>
        <v>1.1148125628949541E+36</v>
      </c>
      <c r="USU28" s="613">
        <f t="shared" ref="USU28" si="7378">USS$28*$C$28</f>
        <v>1.1259606885239037E+36</v>
      </c>
      <c r="USW28" s="613">
        <f t="shared" ref="USW28" si="7379">USU$28*$C$28</f>
        <v>1.1372202954091427E+36</v>
      </c>
      <c r="USY28" s="613">
        <f t="shared" ref="USY28" si="7380">USW$28*$C$28</f>
        <v>1.1485924983632342E+36</v>
      </c>
      <c r="UTA28" s="613">
        <f t="shared" ref="UTA28" si="7381">USY$28*$C$28</f>
        <v>1.1600784233468665E+36</v>
      </c>
      <c r="UTC28" s="613">
        <f t="shared" ref="UTC28" si="7382">UTA$28*$C$28</f>
        <v>1.1716792075803352E+36</v>
      </c>
      <c r="UTE28" s="613">
        <f t="shared" ref="UTE28" si="7383">UTC$28*$C$28</f>
        <v>1.1833959996561385E+36</v>
      </c>
      <c r="UTG28" s="613">
        <f t="shared" ref="UTG28" si="7384">UTE$28*$C$28</f>
        <v>1.1952299596526999E+36</v>
      </c>
      <c r="UTI28" s="613">
        <f t="shared" ref="UTI28" si="7385">UTG$28*$C$28</f>
        <v>1.2071822592492269E+36</v>
      </c>
      <c r="UTK28" s="613">
        <f t="shared" ref="UTK28" si="7386">UTI$28*$C$28</f>
        <v>1.2192540818417191E+36</v>
      </c>
      <c r="UTM28" s="613">
        <f t="shared" ref="UTM28" si="7387">UTK$28*$C$28</f>
        <v>1.2314466226601363E+36</v>
      </c>
      <c r="UTO28" s="613">
        <f t="shared" ref="UTO28" si="7388">UTM$28*$C$28</f>
        <v>1.2437610888867377E+36</v>
      </c>
      <c r="UTQ28" s="613">
        <f t="shared" ref="UTQ28" si="7389">UTO$28*$C$28</f>
        <v>1.2561986997756051E+36</v>
      </c>
      <c r="UTS28" s="613">
        <f t="shared" ref="UTS28" si="7390">UTQ$28*$C$28</f>
        <v>1.2687606867733611E+36</v>
      </c>
      <c r="UTU28" s="613">
        <f t="shared" ref="UTU28" si="7391">UTS$28*$C$28</f>
        <v>1.2814482936410947E+36</v>
      </c>
      <c r="UTW28" s="613">
        <f t="shared" ref="UTW28" si="7392">UTU$28*$C$28</f>
        <v>1.2942627765775056E+36</v>
      </c>
      <c r="UTY28" s="613">
        <f t="shared" ref="UTY28" si="7393">UTW$28*$C$28</f>
        <v>1.3072054043432806E+36</v>
      </c>
      <c r="UUA28" s="613">
        <f t="shared" ref="UUA28" si="7394">UTY$28*$C$28</f>
        <v>1.3202774583867134E+36</v>
      </c>
      <c r="UUC28" s="613">
        <f t="shared" ref="UUC28" si="7395">UUA$28*$C$28</f>
        <v>1.3334802329705807E+36</v>
      </c>
      <c r="UUE28" s="613">
        <f t="shared" ref="UUE28" si="7396">UUC$28*$C$28</f>
        <v>1.3468150353002865E+36</v>
      </c>
      <c r="UUG28" s="613">
        <f t="shared" ref="UUG28" si="7397">UUE$28*$C$28</f>
        <v>1.3602831856532893E+36</v>
      </c>
      <c r="UUI28" s="613">
        <f t="shared" ref="UUI28" si="7398">UUG$28*$C$28</f>
        <v>1.3738860175098222E+36</v>
      </c>
      <c r="UUK28" s="613">
        <f t="shared" ref="UUK28" si="7399">UUI$28*$C$28</f>
        <v>1.3876248776849205E+36</v>
      </c>
      <c r="UUM28" s="613">
        <f t="shared" ref="UUM28" si="7400">UUK$28*$C$28</f>
        <v>1.4015011264617698E+36</v>
      </c>
      <c r="UUO28" s="613">
        <f t="shared" ref="UUO28" si="7401">UUM$28*$C$28</f>
        <v>1.4155161377263874E+36</v>
      </c>
      <c r="UUQ28" s="613">
        <f t="shared" ref="UUQ28" si="7402">UUO$28*$C$28</f>
        <v>1.4296712991036512E+36</v>
      </c>
      <c r="UUS28" s="613">
        <f t="shared" ref="UUS28" si="7403">UUQ$28*$C$28</f>
        <v>1.4439680120946877E+36</v>
      </c>
      <c r="UUU28" s="613">
        <f t="shared" ref="UUU28" si="7404">UUS$28*$C$28</f>
        <v>1.4584076922156346E+36</v>
      </c>
      <c r="UUW28" s="613">
        <f t="shared" ref="UUW28" si="7405">UUU$28*$C$28</f>
        <v>1.4729917691377909E+36</v>
      </c>
      <c r="UUY28" s="613">
        <f t="shared" ref="UUY28" si="7406">UUW$28*$C$28</f>
        <v>1.4877216868291687E+36</v>
      </c>
      <c r="UVA28" s="613">
        <f t="shared" ref="UVA28" si="7407">UUY$28*$C$28</f>
        <v>1.5025989036974604E+36</v>
      </c>
      <c r="UVC28" s="613">
        <f t="shared" ref="UVC28" si="7408">UVA$28*$C$28</f>
        <v>1.5176248927344351E+36</v>
      </c>
      <c r="UVE28" s="613">
        <f t="shared" ref="UVE28" si="7409">UVC$28*$C$28</f>
        <v>1.5328011416617796E+36</v>
      </c>
      <c r="UVG28" s="613">
        <f t="shared" ref="UVG28" si="7410">UVE$28*$C$28</f>
        <v>1.5481291530783973E+36</v>
      </c>
      <c r="UVI28" s="613">
        <f t="shared" ref="UVI28" si="7411">UVG$28*$C$28</f>
        <v>1.5636104446091813E+36</v>
      </c>
      <c r="UVK28" s="613">
        <f t="shared" ref="UVK28" si="7412">UVI$28*$C$28</f>
        <v>1.5792465490552731E+36</v>
      </c>
      <c r="UVM28" s="613">
        <f t="shared" ref="UVM28" si="7413">UVK$28*$C$28</f>
        <v>1.5950390145458259E+36</v>
      </c>
      <c r="UVO28" s="613">
        <f t="shared" ref="UVO28" si="7414">UVM$28*$C$28</f>
        <v>1.6109894046912842E+36</v>
      </c>
      <c r="UVQ28" s="613">
        <f t="shared" ref="UVQ28" si="7415">UVO$28*$C$28</f>
        <v>1.627099298738197E+36</v>
      </c>
      <c r="UVS28" s="613">
        <f t="shared" ref="UVS28" si="7416">UVQ$28*$C$28</f>
        <v>1.643370291725579E+36</v>
      </c>
      <c r="UVU28" s="613">
        <f t="shared" ref="UVU28" si="7417">UVS$28*$C$28</f>
        <v>1.6598039946428348E+36</v>
      </c>
      <c r="UVW28" s="613">
        <f t="shared" ref="UVW28" si="7418">UVU$28*$C$28</f>
        <v>1.676402034589263E+36</v>
      </c>
      <c r="UVY28" s="613">
        <f t="shared" ref="UVY28" si="7419">UVW$28*$C$28</f>
        <v>1.6931660549351557E+36</v>
      </c>
      <c r="UWA28" s="613">
        <f t="shared" ref="UWA28" si="7420">UVY$28*$C$28</f>
        <v>1.7100977154845074E+36</v>
      </c>
      <c r="UWC28" s="613">
        <f t="shared" ref="UWC28" si="7421">UWA$28*$C$28</f>
        <v>1.7271986926393526E+36</v>
      </c>
      <c r="UWE28" s="613">
        <f t="shared" ref="UWE28" si="7422">UWC$28*$C$28</f>
        <v>1.744470679565746E+36</v>
      </c>
      <c r="UWG28" s="613">
        <f t="shared" ref="UWG28" si="7423">UWE$28*$C$28</f>
        <v>1.7619153863614033E+36</v>
      </c>
      <c r="UWI28" s="613">
        <f t="shared" ref="UWI28" si="7424">UWG$28*$C$28</f>
        <v>1.7795345402250174E+36</v>
      </c>
      <c r="UWK28" s="613">
        <f t="shared" ref="UWK28" si="7425">UWI$28*$C$28</f>
        <v>1.7973298856272676E+36</v>
      </c>
      <c r="UWM28" s="613">
        <f t="shared" ref="UWM28" si="7426">UWK$28*$C$28</f>
        <v>1.8153031844835403E+36</v>
      </c>
      <c r="UWO28" s="613">
        <f t="shared" ref="UWO28" si="7427">UWM$28*$C$28</f>
        <v>1.8334562163283756E+36</v>
      </c>
      <c r="UWQ28" s="613">
        <f t="shared" ref="UWQ28" si="7428">UWO$28*$C$28</f>
        <v>1.8517907784916594E+36</v>
      </c>
      <c r="UWS28" s="613">
        <f t="shared" ref="UWS28" si="7429">UWQ$28*$C$28</f>
        <v>1.870308686276576E+36</v>
      </c>
      <c r="UWU28" s="613">
        <f t="shared" ref="UWU28" si="7430">UWS$28*$C$28</f>
        <v>1.8890117731393418E+36</v>
      </c>
      <c r="UWW28" s="613">
        <f t="shared" ref="UWW28" si="7431">UWU$28*$C$28</f>
        <v>1.9079018908707354E+36</v>
      </c>
      <c r="UWY28" s="613">
        <f t="shared" ref="UWY28" si="7432">UWW$28*$C$28</f>
        <v>1.9269809097794429E+36</v>
      </c>
      <c r="UXA28" s="613">
        <f t="shared" ref="UXA28" si="7433">UWY$28*$C$28</f>
        <v>1.9462507188772372E+36</v>
      </c>
      <c r="UXC28" s="613">
        <f t="shared" ref="UXC28" si="7434">UXA$28*$C$28</f>
        <v>1.9657132260660098E+36</v>
      </c>
      <c r="UXE28" s="613">
        <f t="shared" ref="UXE28" si="7435">UXC$28*$C$28</f>
        <v>1.9853703583266698E+36</v>
      </c>
      <c r="UXG28" s="613">
        <f t="shared" ref="UXG28" si="7436">UXE$28*$C$28</f>
        <v>2.0052240619099367E+36</v>
      </c>
      <c r="UXI28" s="613">
        <f t="shared" ref="UXI28" si="7437">UXG$28*$C$28</f>
        <v>2.0252763025290362E+36</v>
      </c>
      <c r="UXK28" s="613">
        <f t="shared" ref="UXK28" si="7438">UXI$28*$C$28</f>
        <v>2.0455290655543267E+36</v>
      </c>
      <c r="UXM28" s="613">
        <f t="shared" ref="UXM28" si="7439">UXK$28*$C$28</f>
        <v>2.06598435620987E+36</v>
      </c>
      <c r="UXO28" s="613">
        <f t="shared" ref="UXO28" si="7440">UXM$28*$C$28</f>
        <v>2.0866441997719688E+36</v>
      </c>
      <c r="UXQ28" s="613">
        <f t="shared" ref="UXQ28" si="7441">UXO$28*$C$28</f>
        <v>2.1075106417696885E+36</v>
      </c>
      <c r="UXS28" s="613">
        <f t="shared" ref="UXS28" si="7442">UXQ$28*$C$28</f>
        <v>2.1285857481873854E+36</v>
      </c>
      <c r="UXU28" s="613">
        <f t="shared" ref="UXU28" si="7443">UXS$28*$C$28</f>
        <v>2.1498716056692594E+36</v>
      </c>
      <c r="UXW28" s="613">
        <f t="shared" ref="UXW28" si="7444">UXU$28*$C$28</f>
        <v>2.171370321725952E+36</v>
      </c>
      <c r="UXY28" s="613">
        <f t="shared" ref="UXY28" si="7445">UXW$28*$C$28</f>
        <v>2.1930840249432116E+36</v>
      </c>
      <c r="UYA28" s="613">
        <f t="shared" ref="UYA28" si="7446">UXY$28*$C$28</f>
        <v>2.2150148651926437E+36</v>
      </c>
      <c r="UYC28" s="613">
        <f t="shared" ref="UYC28" si="7447">UYA$28*$C$28</f>
        <v>2.2371650138445703E+36</v>
      </c>
      <c r="UYE28" s="613">
        <f t="shared" ref="UYE28" si="7448">UYC$28*$C$28</f>
        <v>2.259536663983016E+36</v>
      </c>
      <c r="UYG28" s="613">
        <f t="shared" ref="UYG28" si="7449">UYE$28*$C$28</f>
        <v>2.2821320306228461E+36</v>
      </c>
      <c r="UYI28" s="613">
        <f t="shared" ref="UYI28" si="7450">UYG$28*$C$28</f>
        <v>2.3049533509290744E+36</v>
      </c>
      <c r="UYK28" s="613">
        <f t="shared" ref="UYK28" si="7451">UYI$28*$C$28</f>
        <v>2.3280028844383651E+36</v>
      </c>
      <c r="UYM28" s="613">
        <f t="shared" ref="UYM28" si="7452">UYK$28*$C$28</f>
        <v>2.3512829132827489E+36</v>
      </c>
      <c r="UYO28" s="613">
        <f t="shared" ref="UYO28" si="7453">UYM$28*$C$28</f>
        <v>2.3747957424155765E+36</v>
      </c>
      <c r="UYQ28" s="613">
        <f t="shared" ref="UYQ28" si="7454">UYO$28*$C$28</f>
        <v>2.3985436998397322E+36</v>
      </c>
      <c r="UYS28" s="613">
        <f t="shared" ref="UYS28" si="7455">UYQ$28*$C$28</f>
        <v>2.4225291368381294E+36</v>
      </c>
      <c r="UYU28" s="613">
        <f t="shared" ref="UYU28" si="7456">UYS$28*$C$28</f>
        <v>2.4467544282065108E+36</v>
      </c>
      <c r="UYW28" s="613">
        <f t="shared" ref="UYW28" si="7457">UYU$28*$C$28</f>
        <v>2.471221972488576E+36</v>
      </c>
      <c r="UYY28" s="613">
        <f t="shared" ref="UYY28" si="7458">UYW$28*$C$28</f>
        <v>2.4959341922134616E+36</v>
      </c>
      <c r="UZA28" s="613">
        <f t="shared" ref="UZA28" si="7459">UYY$28*$C$28</f>
        <v>2.5208935341355962E+36</v>
      </c>
      <c r="UZC28" s="613">
        <f t="shared" ref="UZC28" si="7460">UZA$28*$C$28</f>
        <v>2.5461024694769521E+36</v>
      </c>
      <c r="UZE28" s="613">
        <f t="shared" ref="UZE28" si="7461">UZC$28*$C$28</f>
        <v>2.5715634941717217E+36</v>
      </c>
      <c r="UZG28" s="613">
        <f t="shared" ref="UZG28" si="7462">UZE$28*$C$28</f>
        <v>2.5972791291134391E+36</v>
      </c>
      <c r="UZI28" s="613">
        <f t="shared" ref="UZI28" si="7463">UZG$28*$C$28</f>
        <v>2.6232519204045736E+36</v>
      </c>
      <c r="UZK28" s="613">
        <f t="shared" ref="UZK28" si="7464">UZI$28*$C$28</f>
        <v>2.6494844396086194E+36</v>
      </c>
      <c r="UZM28" s="613">
        <f t="shared" ref="UZM28" si="7465">UZK$28*$C$28</f>
        <v>2.6759792840047054E+36</v>
      </c>
      <c r="UZO28" s="613">
        <f t="shared" ref="UZO28" si="7466">UZM$28*$C$28</f>
        <v>2.7027390768447523E+36</v>
      </c>
      <c r="UZQ28" s="613">
        <f t="shared" ref="UZQ28" si="7467">UZO$28*$C$28</f>
        <v>2.7297664676132001E+36</v>
      </c>
      <c r="UZS28" s="613">
        <f t="shared" ref="UZS28" si="7468">UZQ$28*$C$28</f>
        <v>2.7570641322893319E+36</v>
      </c>
      <c r="UZU28" s="613">
        <f t="shared" ref="UZU28" si="7469">UZS$28*$C$28</f>
        <v>2.7846347736122252E+36</v>
      </c>
      <c r="UZW28" s="613">
        <f t="shared" ref="UZW28" si="7470">UZU$28*$C$28</f>
        <v>2.8124811213483477E+36</v>
      </c>
      <c r="UZY28" s="613">
        <f t="shared" ref="UZY28" si="7471">UZW$28*$C$28</f>
        <v>2.840605932561831E+36</v>
      </c>
      <c r="VAA28" s="613">
        <f t="shared" ref="VAA28" si="7472">UZY$28*$C$28</f>
        <v>2.8690119918874493E+36</v>
      </c>
      <c r="VAC28" s="613">
        <f t="shared" ref="VAC28" si="7473">VAA$28*$C$28</f>
        <v>2.8977021118063237E+36</v>
      </c>
      <c r="VAE28" s="613">
        <f t="shared" ref="VAE28" si="7474">VAC$28*$C$28</f>
        <v>2.9266791329243867E+36</v>
      </c>
      <c r="VAG28" s="613">
        <f t="shared" ref="VAG28" si="7475">VAE$28*$C$28</f>
        <v>2.9559459242536305E+36</v>
      </c>
      <c r="VAI28" s="613">
        <f t="shared" ref="VAI28" si="7476">VAG$28*$C$28</f>
        <v>2.985505383496167E+36</v>
      </c>
      <c r="VAK28" s="613">
        <f t="shared" ref="VAK28" si="7477">VAI$28*$C$28</f>
        <v>3.0153604373311288E+36</v>
      </c>
      <c r="VAM28" s="613">
        <f t="shared" ref="VAM28" si="7478">VAK$28*$C$28</f>
        <v>3.04551404170444E+36</v>
      </c>
      <c r="VAO28" s="613">
        <f t="shared" ref="VAO28" si="7479">VAM$28*$C$28</f>
        <v>3.0759691821214842E+36</v>
      </c>
      <c r="VAQ28" s="613">
        <f t="shared" ref="VAQ28" si="7480">VAO$28*$C$28</f>
        <v>3.1067288739426989E+36</v>
      </c>
      <c r="VAS28" s="613">
        <f t="shared" ref="VAS28" si="7481">VAQ$28*$C$28</f>
        <v>3.1377961626821257E+36</v>
      </c>
      <c r="VAU28" s="613">
        <f t="shared" ref="VAU28" si="7482">VAS$28*$C$28</f>
        <v>3.1691741243089473E+36</v>
      </c>
      <c r="VAW28" s="613">
        <f t="shared" ref="VAW28" si="7483">VAU$28*$C$28</f>
        <v>3.2008658655520371E+36</v>
      </c>
      <c r="VAY28" s="613">
        <f t="shared" ref="VAY28" si="7484">VAW$28*$C$28</f>
        <v>3.2328745242075577E+36</v>
      </c>
      <c r="VBA28" s="613">
        <f t="shared" ref="VBA28" si="7485">VAY$28*$C$28</f>
        <v>3.265203269449633E+36</v>
      </c>
      <c r="VBC28" s="613">
        <f t="shared" ref="VBC28" si="7486">VBA$28*$C$28</f>
        <v>3.2978553021441293E+36</v>
      </c>
      <c r="VBE28" s="613">
        <f t="shared" ref="VBE28" si="7487">VBC$28*$C$28</f>
        <v>3.3308338551655705E+36</v>
      </c>
      <c r="VBG28" s="613">
        <f t="shared" ref="VBG28" si="7488">VBE$28*$C$28</f>
        <v>3.3641421937172262E+36</v>
      </c>
      <c r="VBI28" s="613">
        <f t="shared" ref="VBI28" si="7489">VBG$28*$C$28</f>
        <v>3.3977836156543985E+36</v>
      </c>
      <c r="VBK28" s="613">
        <f t="shared" ref="VBK28" si="7490">VBI$28*$C$28</f>
        <v>3.4317614518109422E+36</v>
      </c>
      <c r="VBM28" s="613">
        <f t="shared" ref="VBM28" si="7491">VBK$28*$C$28</f>
        <v>3.4660790663290514E+36</v>
      </c>
      <c r="VBO28" s="613">
        <f t="shared" ref="VBO28" si="7492">VBM$28*$C$28</f>
        <v>3.5007398569923422E+36</v>
      </c>
      <c r="VBQ28" s="613">
        <f t="shared" ref="VBQ28" si="7493">VBO$28*$C$28</f>
        <v>3.5357472555622654E+36</v>
      </c>
      <c r="VBS28" s="613">
        <f t="shared" ref="VBS28" si="7494">VBQ$28*$C$28</f>
        <v>3.5711047281178879E+36</v>
      </c>
      <c r="VBU28" s="613">
        <f t="shared" ref="VBU28" si="7495">VBS$28*$C$28</f>
        <v>3.6068157753990666E+36</v>
      </c>
      <c r="VBW28" s="613">
        <f t="shared" ref="VBW28" si="7496">VBU$28*$C$28</f>
        <v>3.6428839331530576E+36</v>
      </c>
      <c r="VBY28" s="613">
        <f t="shared" ref="VBY28" si="7497">VBW$28*$C$28</f>
        <v>3.6793127724845879E+36</v>
      </c>
      <c r="VCA28" s="613">
        <f t="shared" ref="VCA28" si="7498">VBY$28*$C$28</f>
        <v>3.7161059002094337E+36</v>
      </c>
      <c r="VCC28" s="613">
        <f t="shared" ref="VCC28" si="7499">VCA$28*$C$28</f>
        <v>3.7532669592115281E+36</v>
      </c>
      <c r="VCE28" s="613">
        <f t="shared" ref="VCE28" si="7500">VCC$28*$C$28</f>
        <v>3.7907996288036437E+36</v>
      </c>
      <c r="VCG28" s="613">
        <f t="shared" ref="VCG28" si="7501">VCE$28*$C$28</f>
        <v>3.82870762509168E+36</v>
      </c>
      <c r="VCI28" s="613">
        <f t="shared" ref="VCI28" si="7502">VCG$28*$C$28</f>
        <v>3.8669947013425966E+36</v>
      </c>
      <c r="VCK28" s="613">
        <f t="shared" ref="VCK28" si="7503">VCI$28*$C$28</f>
        <v>3.9056646483560228E+36</v>
      </c>
      <c r="VCM28" s="613">
        <f t="shared" ref="VCM28" si="7504">VCK$28*$C$28</f>
        <v>3.9447212948395832E+36</v>
      </c>
      <c r="VCO28" s="613">
        <f t="shared" ref="VCO28" si="7505">VCM$28*$C$28</f>
        <v>3.9841685077879788E+36</v>
      </c>
      <c r="VCQ28" s="613">
        <f t="shared" ref="VCQ28" si="7506">VCO$28*$C$28</f>
        <v>4.0240101928658583E+36</v>
      </c>
      <c r="VCS28" s="613">
        <f t="shared" ref="VCS28" si="7507">VCQ$28*$C$28</f>
        <v>4.0642502947945167E+36</v>
      </c>
      <c r="VCU28" s="613">
        <f t="shared" ref="VCU28" si="7508">VCS$28*$C$28</f>
        <v>4.1048927977424618E+36</v>
      </c>
      <c r="VCW28" s="613">
        <f t="shared" ref="VCW28" si="7509">VCU$28*$C$28</f>
        <v>4.1459417257198864E+36</v>
      </c>
      <c r="VCY28" s="613">
        <f t="shared" ref="VCY28" si="7510">VCW$28*$C$28</f>
        <v>4.1874011429770854E+36</v>
      </c>
      <c r="VDA28" s="613">
        <f t="shared" ref="VDA28" si="7511">VCY$28*$C$28</f>
        <v>4.2292751544068561E+36</v>
      </c>
      <c r="VDC28" s="613">
        <f t="shared" ref="VDC28" si="7512">VDA$28*$C$28</f>
        <v>4.271567905950925E+36</v>
      </c>
      <c r="VDE28" s="613">
        <f t="shared" ref="VDE28" si="7513">VDC$28*$C$28</f>
        <v>4.3142835850104343E+36</v>
      </c>
      <c r="VDG28" s="613">
        <f t="shared" ref="VDG28" si="7514">VDE$28*$C$28</f>
        <v>4.3574264208605388E+36</v>
      </c>
      <c r="VDI28" s="613">
        <f t="shared" ref="VDI28" si="7515">VDG$28*$C$28</f>
        <v>4.4010006850691441E+36</v>
      </c>
      <c r="VDK28" s="613">
        <f t="shared" ref="VDK28" si="7516">VDI$28*$C$28</f>
        <v>4.4450106919198354E+36</v>
      </c>
      <c r="VDM28" s="613">
        <f t="shared" ref="VDM28" si="7517">VDK$28*$C$28</f>
        <v>4.4894607988390339E+36</v>
      </c>
      <c r="VDO28" s="613">
        <f t="shared" ref="VDO28" si="7518">VDM$28*$C$28</f>
        <v>4.5343554068274246E+36</v>
      </c>
      <c r="VDQ28" s="613">
        <f t="shared" ref="VDQ28" si="7519">VDO$28*$C$28</f>
        <v>4.5796989608956988E+36</v>
      </c>
      <c r="VDS28" s="613">
        <f t="shared" ref="VDS28" si="7520">VDQ$28*$C$28</f>
        <v>4.6254959505046559E+36</v>
      </c>
      <c r="VDU28" s="613">
        <f t="shared" ref="VDU28" si="7521">VDS$28*$C$28</f>
        <v>4.6717509100097026E+36</v>
      </c>
      <c r="VDW28" s="613">
        <f t="shared" ref="VDW28" si="7522">VDU$28*$C$28</f>
        <v>4.7184684191097998E+36</v>
      </c>
      <c r="VDY28" s="613">
        <f t="shared" ref="VDY28" si="7523">VDW$28*$C$28</f>
        <v>4.7656531033008977E+36</v>
      </c>
      <c r="VEA28" s="613">
        <f t="shared" ref="VEA28" si="7524">VDY$28*$C$28</f>
        <v>4.8133096343339065E+36</v>
      </c>
      <c r="VEC28" s="613">
        <f t="shared" ref="VEC28" si="7525">VEA$28*$C$28</f>
        <v>4.8614427306772454E+36</v>
      </c>
      <c r="VEE28" s="613">
        <f t="shared" ref="VEE28" si="7526">VEC$28*$C$28</f>
        <v>4.9100571579840179E+36</v>
      </c>
      <c r="VEG28" s="613">
        <f t="shared" ref="VEG28" si="7527">VEE$28*$C$28</f>
        <v>4.9591577295638584E+36</v>
      </c>
      <c r="VEI28" s="613">
        <f t="shared" ref="VEI28" si="7528">VEG$28*$C$28</f>
        <v>5.0087493068594968E+36</v>
      </c>
      <c r="VEK28" s="613">
        <f t="shared" ref="VEK28" si="7529">VEI$28*$C$28</f>
        <v>5.0588367999280919E+36</v>
      </c>
      <c r="VEM28" s="613">
        <f t="shared" ref="VEM28" si="7530">VEK$28*$C$28</f>
        <v>5.1094251679273728E+36</v>
      </c>
      <c r="VEO28" s="613">
        <f t="shared" ref="VEO28" si="7531">VEM$28*$C$28</f>
        <v>5.1605194196066463E+36</v>
      </c>
      <c r="VEQ28" s="613">
        <f t="shared" ref="VEQ28" si="7532">VEO$28*$C$28</f>
        <v>5.2121246138027125E+36</v>
      </c>
      <c r="VES28" s="613">
        <f t="shared" ref="VES28" si="7533">VEQ$28*$C$28</f>
        <v>5.2642458599407397E+36</v>
      </c>
      <c r="VEU28" s="613">
        <f t="shared" ref="VEU28" si="7534">VES$28*$C$28</f>
        <v>5.3168883185401471E+36</v>
      </c>
      <c r="VEW28" s="613">
        <f t="shared" ref="VEW28" si="7535">VEU$28*$C$28</f>
        <v>5.3700572017255483E+36</v>
      </c>
      <c r="VEY28" s="613">
        <f t="shared" ref="VEY28" si="7536">VEW$28*$C$28</f>
        <v>5.4237577737428041E+36</v>
      </c>
      <c r="VFA28" s="613">
        <f t="shared" ref="VFA28" si="7537">VEY$28*$C$28</f>
        <v>5.4779953514802322E+36</v>
      </c>
      <c r="VFC28" s="613">
        <f t="shared" ref="VFC28" si="7538">VFA$28*$C$28</f>
        <v>5.5327753049950351E+36</v>
      </c>
      <c r="VFE28" s="613">
        <f t="shared" ref="VFE28" si="7539">VFC$28*$C$28</f>
        <v>5.5881030580449859E+36</v>
      </c>
      <c r="VFG28" s="613">
        <f t="shared" ref="VFG28" si="7540">VFE$28*$C$28</f>
        <v>5.6439840886254356E+36</v>
      </c>
      <c r="VFI28" s="613">
        <f t="shared" ref="VFI28" si="7541">VFG$28*$C$28</f>
        <v>5.7004239295116902E+36</v>
      </c>
      <c r="VFK28" s="613">
        <f t="shared" ref="VFK28" si="7542">VFI$28*$C$28</f>
        <v>5.7574281688068068E+36</v>
      </c>
      <c r="VFM28" s="613">
        <f t="shared" ref="VFM28" si="7543">VFK$28*$C$28</f>
        <v>5.8150024504948754E+36</v>
      </c>
      <c r="VFO28" s="613">
        <f t="shared" ref="VFO28" si="7544">VFM$28*$C$28</f>
        <v>5.8731524749998247E+36</v>
      </c>
      <c r="VFQ28" s="613">
        <f t="shared" ref="VFQ28" si="7545">VFO$28*$C$28</f>
        <v>5.9318839997498231E+36</v>
      </c>
      <c r="VFS28" s="613">
        <f t="shared" ref="VFS28" si="7546">VFQ$28*$C$28</f>
        <v>5.9912028397473211E+36</v>
      </c>
      <c r="VFU28" s="613">
        <f t="shared" ref="VFU28" si="7547">VFS$28*$C$28</f>
        <v>6.0511148681447942E+36</v>
      </c>
      <c r="VFW28" s="613">
        <f t="shared" ref="VFW28" si="7548">VFU$28*$C$28</f>
        <v>6.1116260168262421E+36</v>
      </c>
      <c r="VFY28" s="613">
        <f t="shared" ref="VFY28" si="7549">VFW$28*$C$28</f>
        <v>6.1727422769945046E+36</v>
      </c>
      <c r="VGA28" s="613">
        <f t="shared" ref="VGA28" si="7550">VFY$28*$C$28</f>
        <v>6.2344696997644499E+36</v>
      </c>
      <c r="VGC28" s="613">
        <f t="shared" ref="VGC28" si="7551">VGA$28*$C$28</f>
        <v>6.2968143967620943E+36</v>
      </c>
      <c r="VGE28" s="613">
        <f t="shared" ref="VGE28" si="7552">VGC$28*$C$28</f>
        <v>6.3597825407297151E+36</v>
      </c>
      <c r="VGG28" s="613">
        <f t="shared" ref="VGG28" si="7553">VGE$28*$C$28</f>
        <v>6.4233803661370119E+36</v>
      </c>
      <c r="VGI28" s="613">
        <f t="shared" ref="VGI28" si="7554">VGG$28*$C$28</f>
        <v>6.4876141697983815E+36</v>
      </c>
      <c r="VGK28" s="613">
        <f t="shared" ref="VGK28" si="7555">VGI$28*$C$28</f>
        <v>6.5524903114963656E+36</v>
      </c>
      <c r="VGM28" s="613">
        <f t="shared" ref="VGM28" si="7556">VGK$28*$C$28</f>
        <v>6.618015214611329E+36</v>
      </c>
      <c r="VGO28" s="613">
        <f t="shared" ref="VGO28" si="7557">VGM$28*$C$28</f>
        <v>6.6841953667574419E+36</v>
      </c>
      <c r="VGQ28" s="613">
        <f t="shared" ref="VGQ28" si="7558">VGO$28*$C$28</f>
        <v>6.7510373204250164E+36</v>
      </c>
      <c r="VGS28" s="613">
        <f t="shared" ref="VGS28" si="7559">VGQ$28*$C$28</f>
        <v>6.8185476936292668E+36</v>
      </c>
      <c r="VGU28" s="613">
        <f t="shared" ref="VGU28" si="7560">VGS$28*$C$28</f>
        <v>6.8867331705655594E+36</v>
      </c>
      <c r="VGW28" s="613">
        <f t="shared" ref="VGW28" si="7561">VGU$28*$C$28</f>
        <v>6.955600502271215E+36</v>
      </c>
      <c r="VGY28" s="613">
        <f t="shared" ref="VGY28" si="7562">VGW$28*$C$28</f>
        <v>7.0251565072939274E+36</v>
      </c>
      <c r="VHA28" s="613">
        <f t="shared" ref="VHA28" si="7563">VGY$28*$C$28</f>
        <v>7.0954080723668666E+36</v>
      </c>
      <c r="VHC28" s="613">
        <f t="shared" ref="VHC28" si="7564">VHA$28*$C$28</f>
        <v>7.1663621530905358E+36</v>
      </c>
      <c r="VHE28" s="613">
        <f t="shared" ref="VHE28" si="7565">VHC$28*$C$28</f>
        <v>7.2380257746214417E+36</v>
      </c>
      <c r="VHG28" s="613">
        <f t="shared" ref="VHG28" si="7566">VHE$28*$C$28</f>
        <v>7.3104060323676563E+36</v>
      </c>
      <c r="VHI28" s="613">
        <f t="shared" ref="VHI28" si="7567">VHG$28*$C$28</f>
        <v>7.3835100926913329E+36</v>
      </c>
      <c r="VHK28" s="613">
        <f t="shared" ref="VHK28" si="7568">VHI$28*$C$28</f>
        <v>7.4573451936182461E+36</v>
      </c>
      <c r="VHM28" s="613">
        <f t="shared" ref="VHM28" si="7569">VHK$28*$C$28</f>
        <v>7.5319186455544291E+36</v>
      </c>
      <c r="VHO28" s="613">
        <f t="shared" ref="VHO28" si="7570">VHM$28*$C$28</f>
        <v>7.6072378320099736E+36</v>
      </c>
      <c r="VHQ28" s="613">
        <f t="shared" ref="VHQ28" si="7571">VHO$28*$C$28</f>
        <v>7.683310210330073E+36</v>
      </c>
      <c r="VHS28" s="613">
        <f t="shared" ref="VHS28" si="7572">VHQ$28*$C$28</f>
        <v>7.7601433124333733E+36</v>
      </c>
      <c r="VHU28" s="613">
        <f t="shared" ref="VHU28" si="7573">VHS$28*$C$28</f>
        <v>7.8377447455577072E+36</v>
      </c>
      <c r="VHW28" s="613">
        <f t="shared" ref="VHW28" si="7574">VHU$28*$C$28</f>
        <v>7.9161221930132848E+36</v>
      </c>
      <c r="VHY28" s="613">
        <f t="shared" ref="VHY28" si="7575">VHW$28*$C$28</f>
        <v>7.9952834149434174E+36</v>
      </c>
      <c r="VIA28" s="613">
        <f t="shared" ref="VIA28" si="7576">VHY$28*$C$28</f>
        <v>8.0752362490928522E+36</v>
      </c>
      <c r="VIC28" s="613">
        <f t="shared" ref="VIC28" si="7577">VIA$28*$C$28</f>
        <v>8.155988611583781E+36</v>
      </c>
      <c r="VIE28" s="613">
        <f t="shared" ref="VIE28" si="7578">VIC$28*$C$28</f>
        <v>8.2375484976996186E+36</v>
      </c>
      <c r="VIG28" s="613">
        <f t="shared" ref="VIG28" si="7579">VIE$28*$C$28</f>
        <v>8.3199239826766142E+36</v>
      </c>
      <c r="VII28" s="613">
        <f t="shared" ref="VII28" si="7580">VIG$28*$C$28</f>
        <v>8.4031232225033803E+36</v>
      </c>
      <c r="VIK28" s="613">
        <f t="shared" ref="VIK28" si="7581">VII$28*$C$28</f>
        <v>8.4871544547284142E+36</v>
      </c>
      <c r="VIM28" s="613">
        <f t="shared" ref="VIM28" si="7582">VIK$28*$C$28</f>
        <v>8.5720259992756986E+36</v>
      </c>
      <c r="VIO28" s="613">
        <f t="shared" ref="VIO28" si="7583">VIM$28*$C$28</f>
        <v>8.6577462592684558E+36</v>
      </c>
      <c r="VIQ28" s="613">
        <f t="shared" ref="VIQ28" si="7584">VIO$28*$C$28</f>
        <v>8.7443237218611409E+36</v>
      </c>
      <c r="VIS28" s="613">
        <f t="shared" ref="VIS28" si="7585">VIQ$28*$C$28</f>
        <v>8.8317669590797519E+36</v>
      </c>
      <c r="VIU28" s="613">
        <f t="shared" ref="VIU28" si="7586">VIS$28*$C$28</f>
        <v>8.9200846286705498E+36</v>
      </c>
      <c r="VIW28" s="613">
        <f t="shared" ref="VIW28" si="7587">VIU$28*$C$28</f>
        <v>9.0092854749572553E+36</v>
      </c>
      <c r="VIY28" s="613">
        <f t="shared" ref="VIY28" si="7588">VIW$28*$C$28</f>
        <v>9.0993783297068278E+36</v>
      </c>
      <c r="VJA28" s="613">
        <f t="shared" ref="VJA28" si="7589">VIY$28*$C$28</f>
        <v>9.1903721130038962E+36</v>
      </c>
      <c r="VJC28" s="613">
        <f t="shared" ref="VJC28" si="7590">VJA$28*$C$28</f>
        <v>9.2822758341339349E+36</v>
      </c>
      <c r="VJE28" s="613">
        <f t="shared" ref="VJE28" si="7591">VJC$28*$C$28</f>
        <v>9.3750985924752739E+36</v>
      </c>
      <c r="VJG28" s="613">
        <f t="shared" ref="VJG28" si="7592">VJE$28*$C$28</f>
        <v>9.4688495784000269E+36</v>
      </c>
      <c r="VJI28" s="613">
        <f t="shared" ref="VJI28" si="7593">VJG$28*$C$28</f>
        <v>9.563538074184027E+36</v>
      </c>
      <c r="VJK28" s="613">
        <f t="shared" ref="VJK28" si="7594">VJI$28*$C$28</f>
        <v>9.6591734549258671E+36</v>
      </c>
      <c r="VJM28" s="613">
        <f t="shared" ref="VJM28" si="7595">VJK$28*$C$28</f>
        <v>9.7557651894751263E+36</v>
      </c>
      <c r="VJO28" s="613">
        <f t="shared" ref="VJO28" si="7596">VJM$28*$C$28</f>
        <v>9.8533228413698773E+36</v>
      </c>
      <c r="VJQ28" s="613">
        <f t="shared" ref="VJQ28" si="7597">VJO$28*$C$28</f>
        <v>9.9518560697835767E+36</v>
      </c>
      <c r="VJS28" s="613">
        <f t="shared" ref="VJS28" si="7598">VJQ$28*$C$28</f>
        <v>1.0051374630481413E+37</v>
      </c>
      <c r="VJU28" s="613">
        <f t="shared" ref="VJU28" si="7599">VJS$28*$C$28</f>
        <v>1.0151888376786227E+37</v>
      </c>
      <c r="VJW28" s="613">
        <f t="shared" ref="VJW28" si="7600">VJU$28*$C$28</f>
        <v>1.0253407260554089E+37</v>
      </c>
      <c r="VJY28" s="613">
        <f t="shared" ref="VJY28" si="7601">VJW$28*$C$28</f>
        <v>1.035594133315963E+37</v>
      </c>
      <c r="VKA28" s="613">
        <f t="shared" ref="VKA28" si="7602">VJY$28*$C$28</f>
        <v>1.0459500746491226E+37</v>
      </c>
      <c r="VKC28" s="613">
        <f t="shared" ref="VKC28" si="7603">VKA$28*$C$28</f>
        <v>1.0564095753956138E+37</v>
      </c>
      <c r="VKE28" s="613">
        <f t="shared" ref="VKE28" si="7604">VKC$28*$C$28</f>
        <v>1.0669736711495701E+37</v>
      </c>
      <c r="VKG28" s="613">
        <f t="shared" ref="VKG28" si="7605">VKE$28*$C$28</f>
        <v>1.0776434078610658E+37</v>
      </c>
      <c r="VKI28" s="613">
        <f t="shared" ref="VKI28" si="7606">VKG$28*$C$28</f>
        <v>1.0884198419396764E+37</v>
      </c>
      <c r="VKK28" s="613">
        <f t="shared" ref="VKK28" si="7607">VKI$28*$C$28</f>
        <v>1.0993040403590731E+37</v>
      </c>
      <c r="VKM28" s="613">
        <f t="shared" ref="VKM28" si="7608">VKK$28*$C$28</f>
        <v>1.1102970807626637E+37</v>
      </c>
      <c r="VKO28" s="613">
        <f t="shared" ref="VKO28" si="7609">VKM$28*$C$28</f>
        <v>1.1214000515702903E+37</v>
      </c>
      <c r="VKQ28" s="613">
        <f t="shared" ref="VKQ28" si="7610">VKO$28*$C$28</f>
        <v>1.1326140520859931E+37</v>
      </c>
      <c r="VKS28" s="613">
        <f t="shared" ref="VKS28" si="7611">VKQ$28*$C$28</f>
        <v>1.1439401926068531E+37</v>
      </c>
      <c r="VKU28" s="613">
        <f t="shared" ref="VKU28" si="7612">VKS$28*$C$28</f>
        <v>1.1553795945329217E+37</v>
      </c>
      <c r="VKW28" s="613">
        <f t="shared" ref="VKW28" si="7613">VKU$28*$C$28</f>
        <v>1.166933390478251E+37</v>
      </c>
      <c r="VKY28" s="613">
        <f t="shared" ref="VKY28" si="7614">VKW$28*$C$28</f>
        <v>1.1786027243830334E+37</v>
      </c>
      <c r="VLA28" s="613">
        <f t="shared" ref="VLA28" si="7615">VKY$28*$C$28</f>
        <v>1.1903887516268636E+37</v>
      </c>
      <c r="VLC28" s="613">
        <f t="shared" ref="VLC28" si="7616">VLA$28*$C$28</f>
        <v>1.2022926391431324E+37</v>
      </c>
      <c r="VLE28" s="613">
        <f t="shared" ref="VLE28" si="7617">VLC$28*$C$28</f>
        <v>1.2143155655345637E+37</v>
      </c>
      <c r="VLG28" s="613">
        <f t="shared" ref="VLG28" si="7618">VLE$28*$C$28</f>
        <v>1.2264587211899094E+37</v>
      </c>
      <c r="VLI28" s="613">
        <f t="shared" ref="VLI28" si="7619">VLG$28*$C$28</f>
        <v>1.2387233084018087E+37</v>
      </c>
      <c r="VLK28" s="613">
        <f t="shared" ref="VLK28" si="7620">VLI$28*$C$28</f>
        <v>1.2511105414858267E+37</v>
      </c>
      <c r="VLM28" s="613">
        <f t="shared" ref="VLM28" si="7621">VLK$28*$C$28</f>
        <v>1.2636216469006849E+37</v>
      </c>
      <c r="VLO28" s="613">
        <f t="shared" ref="VLO28" si="7622">VLM$28*$C$28</f>
        <v>1.2762578633696918E+37</v>
      </c>
      <c r="VLQ28" s="613">
        <f t="shared" ref="VLQ28" si="7623">VLO$28*$C$28</f>
        <v>1.2890204420033886E+37</v>
      </c>
      <c r="VLS28" s="613">
        <f t="shared" ref="VLS28" si="7624">VLQ$28*$C$28</f>
        <v>1.3019106464234226E+37</v>
      </c>
      <c r="VLU28" s="613">
        <f t="shared" ref="VLU28" si="7625">VLS$28*$C$28</f>
        <v>1.3149297528876568E+37</v>
      </c>
      <c r="VLW28" s="613">
        <f t="shared" ref="VLW28" si="7626">VLU$28*$C$28</f>
        <v>1.3280790504165334E+37</v>
      </c>
      <c r="VLY28" s="613">
        <f t="shared" ref="VLY28" si="7627">VLW$28*$C$28</f>
        <v>1.3413598409206986E+37</v>
      </c>
      <c r="VMA28" s="613">
        <f t="shared" ref="VMA28" si="7628">VLY$28*$C$28</f>
        <v>1.3547734393299056E+37</v>
      </c>
      <c r="VMC28" s="613">
        <f t="shared" ref="VMC28" si="7629">VMA$28*$C$28</f>
        <v>1.3683211737232047E+37</v>
      </c>
      <c r="VME28" s="613">
        <f t="shared" ref="VME28" si="7630">VMC$28*$C$28</f>
        <v>1.3820043854604369E+37</v>
      </c>
      <c r="VMG28" s="613">
        <f t="shared" ref="VMG28" si="7631">VME$28*$C$28</f>
        <v>1.3958244293150412E+37</v>
      </c>
      <c r="VMI28" s="613">
        <f t="shared" ref="VMI28" si="7632">VMG$28*$C$28</f>
        <v>1.4097826736081918E+37</v>
      </c>
      <c r="VMK28" s="613">
        <f t="shared" ref="VMK28" si="7633">VMI$28*$C$28</f>
        <v>1.4238805003442737E+37</v>
      </c>
      <c r="VMM28" s="613">
        <f t="shared" ref="VMM28" si="7634">VMK$28*$C$28</f>
        <v>1.4381193053477165E+37</v>
      </c>
      <c r="VMO28" s="613">
        <f t="shared" ref="VMO28" si="7635">VMM$28*$C$28</f>
        <v>1.4525004984011936E+37</v>
      </c>
      <c r="VMQ28" s="613">
        <f t="shared" ref="VMQ28" si="7636">VMO$28*$C$28</f>
        <v>1.4670255033852055E+37</v>
      </c>
      <c r="VMS28" s="613">
        <f t="shared" ref="VMS28" si="7637">VMQ$28*$C$28</f>
        <v>1.4816957584190577E+37</v>
      </c>
      <c r="VMU28" s="613">
        <f t="shared" ref="VMU28" si="7638">VMS$28*$C$28</f>
        <v>1.4965127160032483E+37</v>
      </c>
      <c r="VMW28" s="613">
        <f t="shared" ref="VMW28" si="7639">VMU$28*$C$28</f>
        <v>1.511477843163281E+37</v>
      </c>
      <c r="VMY28" s="613">
        <f t="shared" ref="VMY28" si="7640">VMW$28*$C$28</f>
        <v>1.5265926215949137E+37</v>
      </c>
      <c r="VNA28" s="613">
        <f t="shared" ref="VNA28" si="7641">VMY$28*$C$28</f>
        <v>1.5418585478108627E+37</v>
      </c>
      <c r="VNC28" s="613">
        <f t="shared" ref="VNC28" si="7642">VNA$28*$C$28</f>
        <v>1.5572771332889715E+37</v>
      </c>
      <c r="VNE28" s="613">
        <f t="shared" ref="VNE28" si="7643">VNC$28*$C$28</f>
        <v>1.5728499046218611E+37</v>
      </c>
      <c r="VNG28" s="613">
        <f t="shared" ref="VNG28" si="7644">VNE$28*$C$28</f>
        <v>1.5885784036680797E+37</v>
      </c>
      <c r="VNI28" s="613">
        <f t="shared" ref="VNI28" si="7645">VNG$28*$C$28</f>
        <v>1.6044641877047605E+37</v>
      </c>
      <c r="VNK28" s="613">
        <f t="shared" ref="VNK28" si="7646">VNI$28*$C$28</f>
        <v>1.6205088295818081E+37</v>
      </c>
      <c r="VNM28" s="613">
        <f t="shared" ref="VNM28" si="7647">VNK$28*$C$28</f>
        <v>1.6367139178776262E+37</v>
      </c>
      <c r="VNO28" s="613">
        <f t="shared" ref="VNO28" si="7648">VNM$28*$C$28</f>
        <v>1.6530810570564025E+37</v>
      </c>
      <c r="VNQ28" s="613">
        <f t="shared" ref="VNQ28" si="7649">VNO$28*$C$28</f>
        <v>1.6696118676269665E+37</v>
      </c>
      <c r="VNS28" s="613">
        <f t="shared" ref="VNS28" si="7650">VNQ$28*$C$28</f>
        <v>1.6863079863032361E+37</v>
      </c>
      <c r="VNU28" s="613">
        <f t="shared" ref="VNU28" si="7651">VNS$28*$C$28</f>
        <v>1.7031710661662685E+37</v>
      </c>
      <c r="VNW28" s="613">
        <f t="shared" ref="VNW28" si="7652">VNU$28*$C$28</f>
        <v>1.7202027768279312E+37</v>
      </c>
      <c r="VNY28" s="613">
        <f t="shared" ref="VNY28" si="7653">VNW$28*$C$28</f>
        <v>1.7374048045962106E+37</v>
      </c>
      <c r="VOA28" s="613">
        <f t="shared" ref="VOA28" si="7654">VNY$28*$C$28</f>
        <v>1.7547788526421728E+37</v>
      </c>
      <c r="VOC28" s="613">
        <f t="shared" ref="VOC28" si="7655">VOA$28*$C$28</f>
        <v>1.7723266411685945E+37</v>
      </c>
      <c r="VOE28" s="613">
        <f t="shared" ref="VOE28" si="7656">VOC$28*$C$28</f>
        <v>1.7900499075802806E+37</v>
      </c>
      <c r="VOG28" s="613">
        <f t="shared" ref="VOG28" si="7657">VOE$28*$C$28</f>
        <v>1.8079504066560835E+37</v>
      </c>
      <c r="VOI28" s="613">
        <f t="shared" ref="VOI28" si="7658">VOG$28*$C$28</f>
        <v>1.8260299107226444E+37</v>
      </c>
      <c r="VOK28" s="613">
        <f t="shared" ref="VOK28" si="7659">VOI$28*$C$28</f>
        <v>1.8442902098298707E+37</v>
      </c>
      <c r="VOM28" s="613">
        <f t="shared" ref="VOM28" si="7660">VOK$28*$C$28</f>
        <v>1.8627331119281694E+37</v>
      </c>
      <c r="VOO28" s="613">
        <f t="shared" ref="VOO28" si="7661">VOM$28*$C$28</f>
        <v>1.8813604430474511E+37</v>
      </c>
      <c r="VOQ28" s="613">
        <f t="shared" ref="VOQ28" si="7662">VOO$28*$C$28</f>
        <v>1.9001740474779257E+37</v>
      </c>
      <c r="VOS28" s="613">
        <f t="shared" ref="VOS28" si="7663">VOQ$28*$C$28</f>
        <v>1.9191757879527049E+37</v>
      </c>
      <c r="VOU28" s="613">
        <f t="shared" ref="VOU28" si="7664">VOS$28*$C$28</f>
        <v>1.938367545832232E+37</v>
      </c>
      <c r="VOW28" s="613">
        <f t="shared" ref="VOW28" si="7665">VOU$28*$C$28</f>
        <v>1.9577512212905544E+37</v>
      </c>
      <c r="VOY28" s="613">
        <f t="shared" ref="VOY28" si="7666">VOW$28*$C$28</f>
        <v>1.9773287335034599E+37</v>
      </c>
      <c r="VPA28" s="613">
        <f t="shared" ref="VPA28" si="7667">VOY$28*$C$28</f>
        <v>1.9971020208384946E+37</v>
      </c>
      <c r="VPC28" s="613">
        <f t="shared" ref="VPC28" si="7668">VPA$28*$C$28</f>
        <v>2.0170730410468797E+37</v>
      </c>
      <c r="VPE28" s="613">
        <f t="shared" ref="VPE28" si="7669">VPC$28*$C$28</f>
        <v>2.0372437714573485E+37</v>
      </c>
      <c r="VPG28" s="613">
        <f t="shared" ref="VPG28" si="7670">VPE$28*$C$28</f>
        <v>2.057616209171922E+37</v>
      </c>
      <c r="VPI28" s="613">
        <f t="shared" ref="VPI28" si="7671">VPG$28*$C$28</f>
        <v>2.0781923712636413E+37</v>
      </c>
      <c r="VPK28" s="613">
        <f t="shared" ref="VPK28" si="7672">VPI$28*$C$28</f>
        <v>2.0989742949762776E+37</v>
      </c>
      <c r="VPM28" s="613">
        <f t="shared" ref="VPM28" si="7673">VPK$28*$C$28</f>
        <v>2.1199640379260405E+37</v>
      </c>
      <c r="VPO28" s="613">
        <f t="shared" ref="VPO28" si="7674">VPM$28*$C$28</f>
        <v>2.1411636783053009E+37</v>
      </c>
      <c r="VPQ28" s="613">
        <f t="shared" ref="VPQ28" si="7675">VPO$28*$C$28</f>
        <v>2.1625753150883539E+37</v>
      </c>
      <c r="VPS28" s="613">
        <f t="shared" ref="VPS28" si="7676">VPQ$28*$C$28</f>
        <v>2.1842010682392374E+37</v>
      </c>
      <c r="VPU28" s="613">
        <f t="shared" ref="VPU28" si="7677">VPS$28*$C$28</f>
        <v>2.2060430789216298E+37</v>
      </c>
      <c r="VPW28" s="613">
        <f t="shared" ref="VPW28" si="7678">VPU$28*$C$28</f>
        <v>2.2281035097108464E+37</v>
      </c>
      <c r="VPY28" s="613">
        <f t="shared" ref="VPY28" si="7679">VPW$28*$C$28</f>
        <v>2.250384544807955E+37</v>
      </c>
      <c r="VQA28" s="613">
        <f t="shared" ref="VQA28" si="7680">VPY$28*$C$28</f>
        <v>2.2728883902560344E+37</v>
      </c>
      <c r="VQC28" s="613">
        <f t="shared" ref="VQC28" si="7681">VQA$28*$C$28</f>
        <v>2.2956172741585946E+37</v>
      </c>
      <c r="VQE28" s="613">
        <f t="shared" ref="VQE28" si="7682">VQC$28*$C$28</f>
        <v>2.3185734469001806E+37</v>
      </c>
      <c r="VQG28" s="613">
        <f t="shared" ref="VQG28" si="7683">VQE$28*$C$28</f>
        <v>2.3417591813691826E+37</v>
      </c>
      <c r="VQI28" s="613">
        <f t="shared" ref="VQI28" si="7684">VQG$28*$C$28</f>
        <v>2.3651767731828745E+37</v>
      </c>
      <c r="VQK28" s="613">
        <f t="shared" ref="VQK28" si="7685">VQI$28*$C$28</f>
        <v>2.3888285409147034E+37</v>
      </c>
      <c r="VQM28" s="613">
        <f t="shared" ref="VQM28" si="7686">VQK$28*$C$28</f>
        <v>2.4127168263238503E+37</v>
      </c>
      <c r="VQO28" s="613">
        <f t="shared" ref="VQO28" si="7687">VQM$28*$C$28</f>
        <v>2.4368439945870886E+37</v>
      </c>
      <c r="VQQ28" s="613">
        <f t="shared" ref="VQQ28" si="7688">VQO$28*$C$28</f>
        <v>2.4612124345329595E+37</v>
      </c>
      <c r="VQS28" s="613">
        <f t="shared" ref="VQS28" si="7689">VQQ$28*$C$28</f>
        <v>2.4858245588782893E+37</v>
      </c>
      <c r="VQU28" s="613">
        <f t="shared" ref="VQU28" si="7690">VQS$28*$C$28</f>
        <v>2.5106828044670722E+37</v>
      </c>
      <c r="VQW28" s="613">
        <f t="shared" ref="VQW28" si="7691">VQU$28*$C$28</f>
        <v>2.5357896325117429E+37</v>
      </c>
      <c r="VQY28" s="613">
        <f t="shared" ref="VQY28" si="7692">VQW$28*$C$28</f>
        <v>2.5611475288368604E+37</v>
      </c>
      <c r="VRA28" s="613">
        <f t="shared" ref="VRA28" si="7693">VQY$28*$C$28</f>
        <v>2.586759004125229E+37</v>
      </c>
      <c r="VRC28" s="613">
        <f t="shared" ref="VRC28" si="7694">VRA$28*$C$28</f>
        <v>2.6126265941664814E+37</v>
      </c>
      <c r="VRE28" s="613">
        <f t="shared" ref="VRE28" si="7695">VRC$28*$C$28</f>
        <v>2.6387528601081462E+37</v>
      </c>
      <c r="VRG28" s="613">
        <f t="shared" ref="VRG28" si="7696">VRE$28*$C$28</f>
        <v>2.6651403887092277E+37</v>
      </c>
      <c r="VRI28" s="613">
        <f t="shared" ref="VRI28" si="7697">VRG$28*$C$28</f>
        <v>2.6917917925963199E+37</v>
      </c>
      <c r="VRK28" s="613">
        <f t="shared" ref="VRK28" si="7698">VRI$28*$C$28</f>
        <v>2.7187097105222831E+37</v>
      </c>
      <c r="VRM28" s="613">
        <f t="shared" ref="VRM28" si="7699">VRK$28*$C$28</f>
        <v>2.7458968076275058E+37</v>
      </c>
      <c r="VRO28" s="613">
        <f t="shared" ref="VRO28" si="7700">VRM$28*$C$28</f>
        <v>2.7733557757037811E+37</v>
      </c>
      <c r="VRQ28" s="613">
        <f t="shared" ref="VRQ28" si="7701">VRO$28*$C$28</f>
        <v>2.801089333460819E+37</v>
      </c>
      <c r="VRS28" s="613">
        <f t="shared" ref="VRS28" si="7702">VRQ$28*$C$28</f>
        <v>2.8291002267954274E+37</v>
      </c>
      <c r="VRU28" s="613">
        <f t="shared" ref="VRU28" si="7703">VRS$28*$C$28</f>
        <v>2.8573912290633819E+37</v>
      </c>
      <c r="VRW28" s="613">
        <f t="shared" ref="VRW28" si="7704">VRU$28*$C$28</f>
        <v>2.8859651413540159E+37</v>
      </c>
      <c r="VRY28" s="613">
        <f t="shared" ref="VRY28" si="7705">VRW$28*$C$28</f>
        <v>2.9148247927675563E+37</v>
      </c>
      <c r="VSA28" s="613">
        <f t="shared" ref="VSA28" si="7706">VRY$28*$C$28</f>
        <v>2.9439730406952317E+37</v>
      </c>
      <c r="VSC28" s="613">
        <f t="shared" ref="VSC28" si="7707">VSA$28*$C$28</f>
        <v>2.973412771102184E+37</v>
      </c>
      <c r="VSE28" s="613">
        <f t="shared" ref="VSE28" si="7708">VSC$28*$C$28</f>
        <v>3.0031468988132061E+37</v>
      </c>
      <c r="VSG28" s="613">
        <f t="shared" ref="VSG28" si="7709">VSE$28*$C$28</f>
        <v>3.0331783678013381E+37</v>
      </c>
      <c r="VSI28" s="613">
        <f t="shared" ref="VSI28" si="7710">VSG$28*$C$28</f>
        <v>3.0635101514793515E+37</v>
      </c>
      <c r="VSK28" s="613">
        <f t="shared" ref="VSK28" si="7711">VSI$28*$C$28</f>
        <v>3.0941452529941452E+37</v>
      </c>
      <c r="VSM28" s="613">
        <f t="shared" ref="VSM28" si="7712">VSK$28*$C$28</f>
        <v>3.1250867055240865E+37</v>
      </c>
      <c r="VSO28" s="613">
        <f t="shared" ref="VSO28" si="7713">VSM$28*$C$28</f>
        <v>3.1563375725793276E+37</v>
      </c>
      <c r="VSQ28" s="613">
        <f t="shared" ref="VSQ28" si="7714">VSO$28*$C$28</f>
        <v>3.187900948305121E+37</v>
      </c>
      <c r="VSS28" s="613">
        <f t="shared" ref="VSS28" si="7715">VSQ$28*$C$28</f>
        <v>3.2197799577881724E+37</v>
      </c>
      <c r="VSU28" s="613">
        <f t="shared" ref="VSU28" si="7716">VSS$28*$C$28</f>
        <v>3.2519777573660541E+37</v>
      </c>
      <c r="VSW28" s="613">
        <f t="shared" ref="VSW28" si="7717">VSU$28*$C$28</f>
        <v>3.2844975349397146E+37</v>
      </c>
      <c r="VSY28" s="613">
        <f t="shared" ref="VSY28" si="7718">VSW$28*$C$28</f>
        <v>3.3173425102891119E+37</v>
      </c>
      <c r="VTA28" s="613">
        <f t="shared" ref="VTA28" si="7719">VSY$28*$C$28</f>
        <v>3.350515935392003E+37</v>
      </c>
      <c r="VTC28" s="613">
        <f t="shared" ref="VTC28" si="7720">VTA$28*$C$28</f>
        <v>3.3840210947459231E+37</v>
      </c>
      <c r="VTE28" s="613">
        <f t="shared" ref="VTE28" si="7721">VTC$28*$C$28</f>
        <v>3.4178613056933823E+37</v>
      </c>
      <c r="VTG28" s="613">
        <f t="shared" ref="VTG28" si="7722">VTE$28*$C$28</f>
        <v>3.452039918750316E+37</v>
      </c>
      <c r="VTI28" s="613">
        <f t="shared" ref="VTI28" si="7723">VTG$28*$C$28</f>
        <v>3.4865603179378189E+37</v>
      </c>
      <c r="VTK28" s="613">
        <f t="shared" ref="VTK28" si="7724">VTI$28*$C$28</f>
        <v>3.5214259211171971E+37</v>
      </c>
      <c r="VTM28" s="613">
        <f t="shared" ref="VTM28" si="7725">VTK$28*$C$28</f>
        <v>3.5566401803283692E+37</v>
      </c>
      <c r="VTO28" s="613">
        <f t="shared" ref="VTO28" si="7726">VTM$28*$C$28</f>
        <v>3.5922065821316528E+37</v>
      </c>
      <c r="VTQ28" s="613">
        <f t="shared" ref="VTQ28" si="7727">VTO$28*$C$28</f>
        <v>3.6281286479529695E+37</v>
      </c>
      <c r="VTS28" s="613">
        <f t="shared" ref="VTS28" si="7728">VTQ$28*$C$28</f>
        <v>3.6644099344324991E+37</v>
      </c>
      <c r="VTU28" s="613">
        <f t="shared" ref="VTU28" si="7729">VTS$28*$C$28</f>
        <v>3.7010540337768239E+37</v>
      </c>
      <c r="VTW28" s="613">
        <f t="shared" ref="VTW28" si="7730">VTU$28*$C$28</f>
        <v>3.7380645741145922E+37</v>
      </c>
      <c r="VTY28" s="613">
        <f t="shared" ref="VTY28" si="7731">VTW$28*$C$28</f>
        <v>3.7754452198557379E+37</v>
      </c>
      <c r="VUA28" s="613">
        <f t="shared" ref="VUA28" si="7732">VTY$28*$C$28</f>
        <v>3.8131996720542952E+37</v>
      </c>
      <c r="VUC28" s="613">
        <f t="shared" ref="VUC28" si="7733">VUA$28*$C$28</f>
        <v>3.8513316687748382E+37</v>
      </c>
      <c r="VUE28" s="613">
        <f t="shared" ref="VUE28" si="7734">VUC$28*$C$28</f>
        <v>3.8898449854625864E+37</v>
      </c>
      <c r="VUG28" s="613">
        <f t="shared" ref="VUG28" si="7735">VUE$28*$C$28</f>
        <v>3.9287434353172121E+37</v>
      </c>
      <c r="VUI28" s="613">
        <f t="shared" ref="VUI28" si="7736">VUG$28*$C$28</f>
        <v>3.9680308696703841E+37</v>
      </c>
      <c r="VUK28" s="613">
        <f t="shared" ref="VUK28" si="7737">VUI$28*$C$28</f>
        <v>4.0077111783670881E+37</v>
      </c>
      <c r="VUM28" s="613">
        <f t="shared" ref="VUM28" si="7738">VUK$28*$C$28</f>
        <v>4.047788290150759E+37</v>
      </c>
      <c r="VUO28" s="613">
        <f t="shared" ref="VUO28" si="7739">VUM$28*$C$28</f>
        <v>4.0882661730522666E+37</v>
      </c>
      <c r="VUQ28" s="613">
        <f t="shared" ref="VUQ28" si="7740">VUO$28*$C$28</f>
        <v>4.1291488347827892E+37</v>
      </c>
      <c r="VUS28" s="613">
        <f t="shared" ref="VUS28" si="7741">VUQ$28*$C$28</f>
        <v>4.170440323130617E+37</v>
      </c>
      <c r="VUU28" s="613">
        <f t="shared" ref="VUU28" si="7742">VUS$28*$C$28</f>
        <v>4.2121447263619234E+37</v>
      </c>
      <c r="VUW28" s="613">
        <f t="shared" ref="VUW28" si="7743">VUU$28*$C$28</f>
        <v>4.2542661736255427E+37</v>
      </c>
      <c r="VUY28" s="613">
        <f t="shared" ref="VUY28" si="7744">VUW$28*$C$28</f>
        <v>4.2968088353617981E+37</v>
      </c>
      <c r="VVA28" s="613">
        <f t="shared" ref="VVA28" si="7745">VUY$28*$C$28</f>
        <v>4.3397769237154158E+37</v>
      </c>
      <c r="VVC28" s="613">
        <f t="shared" ref="VVC28" si="7746">VVA$28*$C$28</f>
        <v>4.3831746929525701E+37</v>
      </c>
      <c r="VVE28" s="613">
        <f t="shared" ref="VVE28" si="7747">VVC$28*$C$28</f>
        <v>4.4270064398820958E+37</v>
      </c>
      <c r="VVG28" s="613">
        <f t="shared" ref="VVG28" si="7748">VVE$28*$C$28</f>
        <v>4.471276504280917E+37</v>
      </c>
      <c r="VVI28" s="613">
        <f t="shared" ref="VVI28" si="7749">VVG$28*$C$28</f>
        <v>4.5159892693237266E+37</v>
      </c>
      <c r="VVK28" s="613">
        <f t="shared" ref="VVK28" si="7750">VVI$28*$C$28</f>
        <v>4.5611491620169639E+37</v>
      </c>
      <c r="VVM28" s="613">
        <f t="shared" ref="VVM28" si="7751">VVK$28*$C$28</f>
        <v>4.6067606536371332E+37</v>
      </c>
      <c r="VVO28" s="613">
        <f t="shared" ref="VVO28" si="7752">VVM$28*$C$28</f>
        <v>4.6528282601735049E+37</v>
      </c>
      <c r="VVQ28" s="613">
        <f t="shared" ref="VVQ28" si="7753">VVO$28*$C$28</f>
        <v>4.6993565427752402E+37</v>
      </c>
      <c r="VVS28" s="613">
        <f t="shared" ref="VVS28" si="7754">VVQ$28*$C$28</f>
        <v>4.7463501082029924E+37</v>
      </c>
      <c r="VVU28" s="613">
        <f t="shared" ref="VVU28" si="7755">VVS$28*$C$28</f>
        <v>4.793813609285022E+37</v>
      </c>
      <c r="VVW28" s="613">
        <f t="shared" ref="VVW28" si="7756">VVU$28*$C$28</f>
        <v>4.8417517453778724E+37</v>
      </c>
      <c r="VVY28" s="613">
        <f t="shared" ref="VVY28" si="7757">VVW$28*$C$28</f>
        <v>4.8901692628316507E+37</v>
      </c>
      <c r="VWA28" s="613">
        <f t="shared" ref="VWA28" si="7758">VVY$28*$C$28</f>
        <v>4.9390709554599677E+37</v>
      </c>
      <c r="VWC28" s="613">
        <f t="shared" ref="VWC28" si="7759">VWA$28*$C$28</f>
        <v>4.9884616650145673E+37</v>
      </c>
      <c r="VWE28" s="613">
        <f t="shared" ref="VWE28" si="7760">VWC$28*$C$28</f>
        <v>5.0383462816647131E+37</v>
      </c>
      <c r="VWG28" s="613">
        <f t="shared" ref="VWG28" si="7761">VWE$28*$C$28</f>
        <v>5.0887297444813607E+37</v>
      </c>
      <c r="VWI28" s="613">
        <f t="shared" ref="VWI28" si="7762">VWG$28*$C$28</f>
        <v>5.1396170419261739E+37</v>
      </c>
      <c r="VWK28" s="613">
        <f t="shared" ref="VWK28" si="7763">VWI$28*$C$28</f>
        <v>5.1910132123454352E+37</v>
      </c>
      <c r="VWM28" s="613">
        <f t="shared" ref="VWM28" si="7764">VWK$28*$C$28</f>
        <v>5.2429233444688895E+37</v>
      </c>
      <c r="VWO28" s="613">
        <f t="shared" ref="VWO28" si="7765">VWM$28*$C$28</f>
        <v>5.2953525779135782E+37</v>
      </c>
      <c r="VWQ28" s="613">
        <f t="shared" ref="VWQ28" si="7766">VWO$28*$C$28</f>
        <v>5.348306103692714E+37</v>
      </c>
      <c r="VWS28" s="613">
        <f t="shared" ref="VWS28" si="7767">VWQ$28*$C$28</f>
        <v>5.4017891647296416E+37</v>
      </c>
      <c r="VWU28" s="613">
        <f t="shared" ref="VWU28" si="7768">VWS$28*$C$28</f>
        <v>5.4558070563769379E+37</v>
      </c>
      <c r="VWW28" s="613">
        <f t="shared" ref="VWW28" si="7769">VWU$28*$C$28</f>
        <v>5.5103651269407072E+37</v>
      </c>
      <c r="VWY28" s="613">
        <f t="shared" ref="VWY28" si="7770">VWW$28*$C$28</f>
        <v>5.5654687782101144E+37</v>
      </c>
      <c r="VXA28" s="613">
        <f t="shared" ref="VXA28" si="7771">VWY$28*$C$28</f>
        <v>5.6211234659922158E+37</v>
      </c>
      <c r="VXC28" s="613">
        <f t="shared" ref="VXC28" si="7772">VXA$28*$C$28</f>
        <v>5.6773347006521378E+37</v>
      </c>
      <c r="VXE28" s="613">
        <f t="shared" ref="VXE28" si="7773">VXC$28*$C$28</f>
        <v>5.734108047658659E+37</v>
      </c>
      <c r="VXG28" s="613">
        <f t="shared" ref="VXG28" si="7774">VXE$28*$C$28</f>
        <v>5.7914491281352461E+37</v>
      </c>
      <c r="VXI28" s="613">
        <f t="shared" ref="VXI28" si="7775">VXG$28*$C$28</f>
        <v>5.8493636194165987E+37</v>
      </c>
      <c r="VXK28" s="613">
        <f t="shared" ref="VXK28" si="7776">VXI$28*$C$28</f>
        <v>5.9078572556107652E+37</v>
      </c>
      <c r="VXM28" s="613">
        <f t="shared" ref="VXM28" si="7777">VXK$28*$C$28</f>
        <v>5.9669358281668727E+37</v>
      </c>
      <c r="VXO28" s="613">
        <f t="shared" ref="VXO28" si="7778">VXM$28*$C$28</f>
        <v>6.0266051864485411E+37</v>
      </c>
      <c r="VXQ28" s="613">
        <f t="shared" ref="VXQ28" si="7779">VXO$28*$C$28</f>
        <v>6.086871238313027E+37</v>
      </c>
      <c r="VXS28" s="613">
        <f t="shared" ref="VXS28" si="7780">VXQ$28*$C$28</f>
        <v>6.1477399506961578E+37</v>
      </c>
      <c r="VXU28" s="613">
        <f t="shared" ref="VXU28" si="7781">VXS$28*$C$28</f>
        <v>6.2092173502031197E+37</v>
      </c>
      <c r="VXW28" s="613">
        <f t="shared" ref="VXW28" si="7782">VXU$28*$C$28</f>
        <v>6.2713095237051513E+37</v>
      </c>
      <c r="VXY28" s="613">
        <f t="shared" ref="VXY28" si="7783">VXW$28*$C$28</f>
        <v>6.3340226189422026E+37</v>
      </c>
      <c r="VYA28" s="613">
        <f t="shared" ref="VYA28" si="7784">VXY$28*$C$28</f>
        <v>6.3973628451316244E+37</v>
      </c>
      <c r="VYC28" s="613">
        <f t="shared" ref="VYC28" si="7785">VYA$28*$C$28</f>
        <v>6.4613364735829412E+37</v>
      </c>
      <c r="VYE28" s="613">
        <f t="shared" ref="VYE28" si="7786">VYC$28*$C$28</f>
        <v>6.5259498383187703E+37</v>
      </c>
      <c r="VYG28" s="613">
        <f t="shared" ref="VYG28" si="7787">VYE$28*$C$28</f>
        <v>6.5912093367019581E+37</v>
      </c>
      <c r="VYI28" s="613">
        <f t="shared" ref="VYI28" si="7788">VYG$28*$C$28</f>
        <v>6.6571214300689777E+37</v>
      </c>
      <c r="VYK28" s="613">
        <f t="shared" ref="VYK28" si="7789">VYI$28*$C$28</f>
        <v>6.7236926443696678E+37</v>
      </c>
      <c r="VYM28" s="613">
        <f t="shared" ref="VYM28" si="7790">VYK$28*$C$28</f>
        <v>6.7909295708133642E+37</v>
      </c>
      <c r="VYO28" s="613">
        <f t="shared" ref="VYO28" si="7791">VYM$28*$C$28</f>
        <v>6.8588388665214976E+37</v>
      </c>
      <c r="VYQ28" s="613">
        <f t="shared" ref="VYQ28" si="7792">VYO$28*$C$28</f>
        <v>6.9274272551867129E+37</v>
      </c>
      <c r="VYS28" s="613">
        <f t="shared" ref="VYS28" si="7793">VYQ$28*$C$28</f>
        <v>6.99670152773858E+37</v>
      </c>
      <c r="VYU28" s="613">
        <f t="shared" ref="VYU28" si="7794">VYS$28*$C$28</f>
        <v>7.0666685430159663E+37</v>
      </c>
      <c r="VYW28" s="613">
        <f t="shared" ref="VYW28" si="7795">VYU$28*$C$28</f>
        <v>7.1373352284461261E+37</v>
      </c>
      <c r="VYY28" s="613">
        <f t="shared" ref="VYY28" si="7796">VYW$28*$C$28</f>
        <v>7.2087085807305871E+37</v>
      </c>
      <c r="VZA28" s="613">
        <f t="shared" ref="VZA28" si="7797">VYY$28*$C$28</f>
        <v>7.280795666537893E+37</v>
      </c>
      <c r="VZC28" s="613">
        <f t="shared" ref="VZC28" si="7798">VZA$28*$C$28</f>
        <v>7.3536036232032718E+37</v>
      </c>
      <c r="VZE28" s="613">
        <f t="shared" ref="VZE28" si="7799">VZC$28*$C$28</f>
        <v>7.4271396594353044E+37</v>
      </c>
      <c r="VZG28" s="613">
        <f t="shared" ref="VZG28" si="7800">VZE$28*$C$28</f>
        <v>7.5014110560296576E+37</v>
      </c>
      <c r="VZI28" s="613">
        <f t="shared" ref="VZI28" si="7801">VZG$28*$C$28</f>
        <v>7.5764251665899543E+37</v>
      </c>
      <c r="VZK28" s="613">
        <f t="shared" ref="VZK28" si="7802">VZI$28*$C$28</f>
        <v>7.6521894182558536E+37</v>
      </c>
      <c r="VZM28" s="613">
        <f t="shared" ref="VZM28" si="7803">VZK$28*$C$28</f>
        <v>7.7287113124384123E+37</v>
      </c>
      <c r="VZO28" s="613">
        <f t="shared" ref="VZO28" si="7804">VZM$28*$C$28</f>
        <v>7.8059984255627969E+37</v>
      </c>
      <c r="VZQ28" s="613">
        <f t="shared" ref="VZQ28" si="7805">VZO$28*$C$28</f>
        <v>7.8840584098184248E+37</v>
      </c>
      <c r="VZS28" s="613">
        <f t="shared" ref="VZS28" si="7806">VZQ$28*$C$28</f>
        <v>7.9628989939166086E+37</v>
      </c>
      <c r="VZU28" s="613">
        <f t="shared" ref="VZU28" si="7807">VZS$28*$C$28</f>
        <v>8.0425279838557751E+37</v>
      </c>
      <c r="VZW28" s="613">
        <f t="shared" ref="VZW28" si="7808">VZU$28*$C$28</f>
        <v>8.1229532636943331E+37</v>
      </c>
      <c r="VZY28" s="613">
        <f t="shared" ref="VZY28" si="7809">VZW$28*$C$28</f>
        <v>8.204182796331276E+37</v>
      </c>
      <c r="WAA28" s="613">
        <f t="shared" ref="WAA28" si="7810">VZY$28*$C$28</f>
        <v>8.2862246242945889E+37</v>
      </c>
      <c r="WAC28" s="613">
        <f t="shared" ref="WAC28" si="7811">WAA$28*$C$28</f>
        <v>8.3690868705375353E+37</v>
      </c>
      <c r="WAE28" s="613">
        <f t="shared" ref="WAE28" si="7812">WAC$28*$C$28</f>
        <v>8.4527777392429111E+37</v>
      </c>
      <c r="WAG28" s="613">
        <f t="shared" ref="WAG28" si="7813">WAE$28*$C$28</f>
        <v>8.5373055166353395E+37</v>
      </c>
      <c r="WAI28" s="613">
        <f t="shared" ref="WAI28" si="7814">WAG$28*$C$28</f>
        <v>8.6226785718016935E+37</v>
      </c>
      <c r="WAK28" s="613">
        <f t="shared" ref="WAK28" si="7815">WAI$28*$C$28</f>
        <v>8.7089053575197103E+37</v>
      </c>
      <c r="WAM28" s="613">
        <f t="shared" ref="WAM28" si="7816">WAK$28*$C$28</f>
        <v>8.7959944110949078E+37</v>
      </c>
      <c r="WAO28" s="613">
        <f t="shared" ref="WAO28" si="7817">WAM$28*$C$28</f>
        <v>8.8839543552058569E+37</v>
      </c>
      <c r="WAQ28" s="613">
        <f t="shared" ref="WAQ28" si="7818">WAO$28*$C$28</f>
        <v>8.9727938987579158E+37</v>
      </c>
      <c r="WAS28" s="613">
        <f t="shared" ref="WAS28" si="7819">WAQ$28*$C$28</f>
        <v>9.0625218377454959E+37</v>
      </c>
      <c r="WAU28" s="613">
        <f t="shared" ref="WAU28" si="7820">WAS$28*$C$28</f>
        <v>9.1531470561229515E+37</v>
      </c>
      <c r="WAW28" s="613">
        <f t="shared" ref="WAW28" si="7821">WAU$28*$C$28</f>
        <v>9.2446785266841809E+37</v>
      </c>
      <c r="WAY28" s="613">
        <f t="shared" ref="WAY28" si="7822">WAW$28*$C$28</f>
        <v>9.3371253119510227E+37</v>
      </c>
      <c r="WBA28" s="613">
        <f t="shared" ref="WBA28" si="7823">WAY$28*$C$28</f>
        <v>9.4304965650705333E+37</v>
      </c>
      <c r="WBC28" s="613">
        <f t="shared" ref="WBC28" si="7824">WBA$28*$C$28</f>
        <v>9.5248015307212381E+37</v>
      </c>
      <c r="WBE28" s="613">
        <f t="shared" ref="WBE28" si="7825">WBC$28*$C$28</f>
        <v>9.62004954602845E+37</v>
      </c>
      <c r="WBG28" s="613">
        <f t="shared" ref="WBG28" si="7826">WBE$28*$C$28</f>
        <v>9.7162500414887336E+37</v>
      </c>
      <c r="WBI28" s="613">
        <f t="shared" ref="WBI28" si="7827">WBG$28*$C$28</f>
        <v>9.813412541903621E+37</v>
      </c>
      <c r="WBK28" s="613">
        <f t="shared" ref="WBK28" si="7828">WBI$28*$C$28</f>
        <v>9.9115466673226565E+37</v>
      </c>
      <c r="WBM28" s="613">
        <f t="shared" ref="WBM28" si="7829">WBK$28*$C$28</f>
        <v>1.0010662133995883E+38</v>
      </c>
      <c r="WBO28" s="613">
        <f t="shared" ref="WBO28" si="7830">WBM$28*$C$28</f>
        <v>1.0110768755335843E+38</v>
      </c>
      <c r="WBQ28" s="613">
        <f t="shared" ref="WBQ28" si="7831">WBO$28*$C$28</f>
        <v>1.0211876442889202E+38</v>
      </c>
      <c r="WBS28" s="613">
        <f t="shared" ref="WBS28" si="7832">WBQ$28*$C$28</f>
        <v>1.0313995207318095E+38</v>
      </c>
      <c r="WBU28" s="613">
        <f t="shared" ref="WBU28" si="7833">WBS$28*$C$28</f>
        <v>1.0417135159391277E+38</v>
      </c>
      <c r="WBW28" s="613">
        <f t="shared" ref="WBW28" si="7834">WBU$28*$C$28</f>
        <v>1.052130651098519E+38</v>
      </c>
      <c r="WBY28" s="613">
        <f t="shared" ref="WBY28" si="7835">WBW$28*$C$28</f>
        <v>1.0626519576095041E+38</v>
      </c>
      <c r="WCA28" s="613">
        <f t="shared" ref="WCA28" si="7836">WBY$28*$C$28</f>
        <v>1.0732784771855992E+38</v>
      </c>
      <c r="WCC28" s="613">
        <f t="shared" ref="WCC28" si="7837">WCA$28*$C$28</f>
        <v>1.0840112619574551E+38</v>
      </c>
      <c r="WCE28" s="613">
        <f t="shared" ref="WCE28" si="7838">WCC$28*$C$28</f>
        <v>1.0948513745770296E+38</v>
      </c>
      <c r="WCG28" s="613">
        <f t="shared" ref="WCG28" si="7839">WCE$28*$C$28</f>
        <v>1.1057998883228E+38</v>
      </c>
      <c r="WCI28" s="613">
        <f t="shared" ref="WCI28" si="7840">WCG$28*$C$28</f>
        <v>1.116857887206028E+38</v>
      </c>
      <c r="WCK28" s="613">
        <f t="shared" ref="WCK28" si="7841">WCI$28*$C$28</f>
        <v>1.1280264660780883E+38</v>
      </c>
      <c r="WCM28" s="613">
        <f t="shared" ref="WCM28" si="7842">WCK$28*$C$28</f>
        <v>1.1393067307388692E+38</v>
      </c>
      <c r="WCO28" s="613">
        <f t="shared" ref="WCO28" si="7843">WCM$28*$C$28</f>
        <v>1.1506997980462578E+38</v>
      </c>
      <c r="WCQ28" s="613">
        <f t="shared" ref="WCQ28" si="7844">WCO$28*$C$28</f>
        <v>1.1622067960267203E+38</v>
      </c>
      <c r="WCS28" s="613">
        <f t="shared" ref="WCS28" si="7845">WCQ$28*$C$28</f>
        <v>1.1738288639869875E+38</v>
      </c>
      <c r="WCU28" s="613">
        <f t="shared" ref="WCU28" si="7846">WCS$28*$C$28</f>
        <v>1.1855671526268575E+38</v>
      </c>
      <c r="WCW28" s="613">
        <f t="shared" ref="WCW28" si="7847">WCU$28*$C$28</f>
        <v>1.1974228241531261E+38</v>
      </c>
      <c r="WCY28" s="613">
        <f t="shared" ref="WCY28" si="7848">WCW$28*$C$28</f>
        <v>1.2093970523946573E+38</v>
      </c>
      <c r="WDA28" s="613">
        <f t="shared" ref="WDA28" si="7849">WCY$28*$C$28</f>
        <v>1.2214910229186039E+38</v>
      </c>
      <c r="WDC28" s="613">
        <f t="shared" ref="WDC28" si="7850">WDA$28*$C$28</f>
        <v>1.2337059331477901E+38</v>
      </c>
      <c r="WDE28" s="613">
        <f t="shared" ref="WDE28" si="7851">WDC$28*$C$28</f>
        <v>1.246042992479268E+38</v>
      </c>
      <c r="WDG28" s="613">
        <f t="shared" ref="WDG28" si="7852">WDE$28*$C$28</f>
        <v>1.2585034224040607E+38</v>
      </c>
      <c r="WDI28" s="613">
        <f t="shared" ref="WDI28" si="7853">WDG$28*$C$28</f>
        <v>1.2710884566281014E+38</v>
      </c>
      <c r="WDK28" s="613">
        <f t="shared" ref="WDK28" si="7854">WDI$28*$C$28</f>
        <v>1.2837993411943825E+38</v>
      </c>
      <c r="WDM28" s="613">
        <f t="shared" ref="WDM28" si="7855">WDK$28*$C$28</f>
        <v>1.2966373346063263E+38</v>
      </c>
      <c r="WDO28" s="613">
        <f t="shared" ref="WDO28" si="7856">WDM$28*$C$28</f>
        <v>1.3096037079523895E+38</v>
      </c>
      <c r="WDQ28" s="613">
        <f t="shared" ref="WDQ28" si="7857">WDO$28*$C$28</f>
        <v>1.3226997450319135E+38</v>
      </c>
      <c r="WDS28" s="613">
        <f t="shared" ref="WDS28" si="7858">WDQ$28*$C$28</f>
        <v>1.3359267424822326E+38</v>
      </c>
      <c r="WDU28" s="613">
        <f t="shared" ref="WDU28" si="7859">WDS$28*$C$28</f>
        <v>1.3492860099070549E+38</v>
      </c>
      <c r="WDW28" s="613">
        <f t="shared" ref="WDW28" si="7860">WDU$28*$C$28</f>
        <v>1.3627788700061256E+38</v>
      </c>
      <c r="WDY28" s="613">
        <f t="shared" ref="WDY28" si="7861">WDW$28*$C$28</f>
        <v>1.3764066587061868E+38</v>
      </c>
      <c r="WEA28" s="613">
        <f t="shared" ref="WEA28" si="7862">WDY$28*$C$28</f>
        <v>1.3901707252932487E+38</v>
      </c>
      <c r="WEC28" s="613">
        <f t="shared" ref="WEC28" si="7863">WEA$28*$C$28</f>
        <v>1.4040724325461813E+38</v>
      </c>
      <c r="WEE28" s="613">
        <f t="shared" ref="WEE28" si="7864">WEC$28*$C$28</f>
        <v>1.4181131568716431E+38</v>
      </c>
      <c r="WEG28" s="613">
        <f t="shared" ref="WEG28" si="7865">WEE$28*$C$28</f>
        <v>1.4322942884403596E+38</v>
      </c>
      <c r="WEI28" s="613">
        <f t="shared" ref="WEI28" si="7866">WEG$28*$C$28</f>
        <v>1.4466172313247631E+38</v>
      </c>
      <c r="WEK28" s="613">
        <f t="shared" ref="WEK28" si="7867">WEI$28*$C$28</f>
        <v>1.4610834036380108E+38</v>
      </c>
      <c r="WEM28" s="613">
        <f t="shared" ref="WEM28" si="7868">WEK$28*$C$28</f>
        <v>1.475694237674391E+38</v>
      </c>
      <c r="WEO28" s="613">
        <f t="shared" ref="WEO28" si="7869">WEM$28*$C$28</f>
        <v>1.490451180051135E+38</v>
      </c>
      <c r="WEQ28" s="613">
        <f t="shared" ref="WEQ28" si="7870">WEO$28*$C$28</f>
        <v>1.5053556918516463E+38</v>
      </c>
      <c r="WES28" s="613">
        <f t="shared" ref="WES28" si="7871">WEQ$28*$C$28</f>
        <v>1.5204092487701628E+38</v>
      </c>
      <c r="WEU28" s="613">
        <f t="shared" ref="WEU28" si="7872">WES$28*$C$28</f>
        <v>1.5356133412578645E+38</v>
      </c>
      <c r="WEW28" s="613">
        <f t="shared" ref="WEW28" si="7873">WEU$28*$C$28</f>
        <v>1.5509694746704431E+38</v>
      </c>
      <c r="WEY28" s="613">
        <f t="shared" ref="WEY28" si="7874">WEW$28*$C$28</f>
        <v>1.5664791694171477E+38</v>
      </c>
      <c r="WFA28" s="613">
        <f t="shared" ref="WFA28" si="7875">WEY$28*$C$28</f>
        <v>1.5821439611113191E+38</v>
      </c>
      <c r="WFC28" s="613">
        <f t="shared" ref="WFC28" si="7876">WFA$28*$C$28</f>
        <v>1.5979654007224324E+38</v>
      </c>
      <c r="WFE28" s="613">
        <f t="shared" ref="WFE28" si="7877">WFC$28*$C$28</f>
        <v>1.6139450547296567E+38</v>
      </c>
      <c r="WFG28" s="613">
        <f t="shared" ref="WFG28" si="7878">WFE$28*$C$28</f>
        <v>1.6300845052769532E+38</v>
      </c>
      <c r="WFI28" s="613">
        <f t="shared" ref="WFI28" si="7879">WFG$28*$C$28</f>
        <v>1.6463853503297227E+38</v>
      </c>
      <c r="WFK28" s="613">
        <f t="shared" ref="WFK28" si="7880">WFI$28*$C$28</f>
        <v>1.66284920383302E+38</v>
      </c>
      <c r="WFM28" s="613">
        <f t="shared" ref="WFM28" si="7881">WFK$28*$C$28</f>
        <v>1.6794776958713502E+38</v>
      </c>
      <c r="WFO28" s="613">
        <f t="shared" ref="WFO28" si="7882">WFM$28*$C$28</f>
        <v>1.6962724728300637E+38</v>
      </c>
      <c r="WFQ28" s="613">
        <f t="shared" ref="WFQ28" si="7883">WFO$28*$C$28</f>
        <v>1.7132351975583645E+38</v>
      </c>
      <c r="WFS28" s="613">
        <f t="shared" ref="WFS28" si="7884">WFQ$28*$C$28</f>
        <v>1.7303675495339483E+38</v>
      </c>
      <c r="WFU28" s="613">
        <f t="shared" ref="WFU28" si="7885">WFS$28*$C$28</f>
        <v>1.7476712250292878E+38</v>
      </c>
      <c r="WFW28" s="613">
        <f t="shared" ref="WFW28" si="7886">WFU$28*$C$28</f>
        <v>1.7651479372795807E+38</v>
      </c>
      <c r="WFY28" s="613">
        <f t="shared" ref="WFY28" si="7887">WFW$28*$C$28</f>
        <v>1.7827994166523764E+38</v>
      </c>
      <c r="WGA28" s="613">
        <f t="shared" ref="WGA28" si="7888">WFY$28*$C$28</f>
        <v>1.8006274108189001E+38</v>
      </c>
      <c r="WGC28" s="613">
        <f t="shared" ref="WGC28" si="7889">WGA$28*$C$28</f>
        <v>1.818633684927089E+38</v>
      </c>
      <c r="WGE28" s="613">
        <f t="shared" ref="WGE28" si="7890">WGC$28*$C$28</f>
        <v>1.8368200217763599E+38</v>
      </c>
      <c r="WGG28" s="613">
        <f t="shared" ref="WGG28" si="7891">WGE$28*$C$28</f>
        <v>1.8551882219941234E+38</v>
      </c>
      <c r="WGI28" s="613">
        <f t="shared" ref="WGI28" si="7892">WGG$28*$C$28</f>
        <v>1.8737401042140645E+38</v>
      </c>
      <c r="WGK28" s="613">
        <f t="shared" ref="WGK28" si="7893">WGI$28*$C$28</f>
        <v>1.8924775052562052E+38</v>
      </c>
      <c r="WGM28" s="613">
        <f t="shared" ref="WGM28" si="7894">WGK$28*$C$28</f>
        <v>1.9114022803087672E+38</v>
      </c>
      <c r="WGO28" s="613">
        <f t="shared" ref="WGO28" si="7895">WGM$28*$C$28</f>
        <v>1.930516303111855E+38</v>
      </c>
      <c r="WGQ28" s="613">
        <f t="shared" ref="WGQ28" si="7896">WGO$28*$C$28</f>
        <v>1.9498214661429737E+38</v>
      </c>
      <c r="WGS28" s="613">
        <f t="shared" ref="WGS28" si="7897">WGQ$28*$C$28</f>
        <v>1.9693196808044034E+38</v>
      </c>
      <c r="WGU28" s="613">
        <f t="shared" ref="WGU28" si="7898">WGS$28*$C$28</f>
        <v>1.9890128776124476E+38</v>
      </c>
      <c r="WGW28" s="613">
        <f t="shared" ref="WGW28" si="7899">WGU$28*$C$28</f>
        <v>2.0089030063885719E+38</v>
      </c>
      <c r="WGY28" s="613">
        <f t="shared" ref="WGY28" si="7900">WGW$28*$C$28</f>
        <v>2.0289920364524578E+38</v>
      </c>
      <c r="WHA28" s="613">
        <f t="shared" ref="WHA28" si="7901">WGY$28*$C$28</f>
        <v>2.0492819568169824E+38</v>
      </c>
      <c r="WHC28" s="613">
        <f t="shared" ref="WHC28" si="7902">WHA$28*$C$28</f>
        <v>2.0697747763851524E+38</v>
      </c>
      <c r="WHE28" s="613">
        <f t="shared" ref="WHE28" si="7903">WHC$28*$C$28</f>
        <v>2.0904725241490038E+38</v>
      </c>
      <c r="WHG28" s="613">
        <f t="shared" ref="WHG28" si="7904">WHE$28*$C$28</f>
        <v>2.1113772493904938E+38</v>
      </c>
      <c r="WHI28" s="613">
        <f t="shared" ref="WHI28" si="7905">WHG$28*$C$28</f>
        <v>2.1324910218843986E+38</v>
      </c>
      <c r="WHK28" s="613">
        <f t="shared" ref="WHK28" si="7906">WHI$28*$C$28</f>
        <v>2.1538159321032424E+38</v>
      </c>
      <c r="WHM28" s="613">
        <f t="shared" ref="WHM28" si="7907">WHK$28*$C$28</f>
        <v>2.1753540914242748E+38</v>
      </c>
      <c r="WHO28" s="613">
        <f t="shared" ref="WHO28" si="7908">WHM$28*$C$28</f>
        <v>2.1971076323385175E+38</v>
      </c>
      <c r="WHQ28" s="613">
        <f t="shared" ref="WHQ28" si="7909">WHO$28*$C$28</f>
        <v>2.2190787086619028E+38</v>
      </c>
      <c r="WHS28" s="613">
        <f t="shared" ref="WHS28" si="7910">WHQ$28*$C$28</f>
        <v>2.2412694957485219E+38</v>
      </c>
      <c r="WHU28" s="613">
        <f t="shared" ref="WHU28" si="7911">WHS$28*$C$28</f>
        <v>2.2636821907060072E+38</v>
      </c>
      <c r="WHW28" s="613">
        <f t="shared" ref="WHW28" si="7912">WHU$28*$C$28</f>
        <v>2.2863190126130672E+38</v>
      </c>
      <c r="WHY28" s="613">
        <f t="shared" ref="WHY28" si="7913">WHW$28*$C$28</f>
        <v>2.3091822027391978E+38</v>
      </c>
      <c r="WIA28" s="613">
        <f t="shared" ref="WIA28" si="7914">WHY$28*$C$28</f>
        <v>2.33227402476659E+38</v>
      </c>
      <c r="WIC28" s="613">
        <f t="shared" ref="WIC28" si="7915">WIA$28*$C$28</f>
        <v>2.3555967650142558E+38</v>
      </c>
      <c r="WIE28" s="613">
        <f t="shared" ref="WIE28" si="7916">WIC$28*$C$28</f>
        <v>2.3791527326643985E+38</v>
      </c>
      <c r="WIG28" s="613">
        <f t="shared" ref="WIG28" si="7917">WIE$28*$C$28</f>
        <v>2.4029442599910427E+38</v>
      </c>
      <c r="WII28" s="613">
        <f t="shared" ref="WII28" si="7918">WIG$28*$C$28</f>
        <v>2.4269737025909533E+38</v>
      </c>
      <c r="WIK28" s="613">
        <f t="shared" ref="WIK28" si="7919">WII$28*$C$28</f>
        <v>2.4512434396168629E+38</v>
      </c>
      <c r="WIM28" s="613">
        <f t="shared" ref="WIM28" si="7920">WIK$28*$C$28</f>
        <v>2.4757558740130317E+38</v>
      </c>
      <c r="WIO28" s="613">
        <f t="shared" ref="WIO28" si="7921">WIM$28*$C$28</f>
        <v>2.5005134327531618E+38</v>
      </c>
      <c r="WIQ28" s="613">
        <f t="shared" ref="WIQ28" si="7922">WIO$28*$C$28</f>
        <v>2.5255185670806936E+38</v>
      </c>
      <c r="WIS28" s="613">
        <f t="shared" ref="WIS28" si="7923">WIQ$28*$C$28</f>
        <v>2.5507737527515004E+38</v>
      </c>
      <c r="WIU28" s="613">
        <f t="shared" ref="WIU28" si="7924">WIS$28*$C$28</f>
        <v>2.5762814902790156E+38</v>
      </c>
      <c r="WIW28" s="613">
        <f t="shared" ref="WIW28" si="7925">WIU$28*$C$28</f>
        <v>2.6020443051818058E+38</v>
      </c>
      <c r="WIY28" s="613">
        <f t="shared" ref="WIY28" si="7926">WIW$28*$C$28</f>
        <v>2.6280647482336239E+38</v>
      </c>
      <c r="WJA28" s="613">
        <f t="shared" ref="WJA28" si="7927">WIY$28*$C$28</f>
        <v>2.6543453957159602E+38</v>
      </c>
      <c r="WJC28" s="613">
        <f t="shared" ref="WJC28" si="7928">WJA$28*$C$28</f>
        <v>2.6808888496731196E+38</v>
      </c>
      <c r="WJE28" s="613">
        <f t="shared" ref="WJE28" si="7929">WJC$28*$C$28</f>
        <v>2.7076977381698507E+38</v>
      </c>
      <c r="WJG28" s="613">
        <f t="shared" ref="WJG28" si="7930">WJE$28*$C$28</f>
        <v>2.7347747155515492E+38</v>
      </c>
      <c r="WJI28" s="613">
        <f t="shared" ref="WJI28" si="7931">WJG$28*$C$28</f>
        <v>2.7621224627070648E+38</v>
      </c>
      <c r="WJK28" s="613">
        <f t="shared" ref="WJK28" si="7932">WJI$28*$C$28</f>
        <v>2.7897436873341353E+38</v>
      </c>
      <c r="WJM28" s="613">
        <f t="shared" ref="WJM28" si="7933">WJK$28*$C$28</f>
        <v>2.8176411242074768E+38</v>
      </c>
      <c r="WJO28" s="613">
        <f t="shared" ref="WJO28" si="7934">WJM$28*$C$28</f>
        <v>2.8458175354495514E+38</v>
      </c>
      <c r="WJQ28" s="613">
        <f t="shared" ref="WJQ28" si="7935">WJO$28*$C$28</f>
        <v>2.874275710804047E+38</v>
      </c>
      <c r="WJS28" s="613">
        <f t="shared" ref="WJS28" si="7936">WJQ$28*$C$28</f>
        <v>2.9030184679120876E+38</v>
      </c>
      <c r="WJU28" s="613">
        <f t="shared" ref="WJU28" si="7937">WJS$28*$C$28</f>
        <v>2.9320486525912085E+38</v>
      </c>
      <c r="WJW28" s="613">
        <f t="shared" ref="WJW28" si="7938">WJU$28*$C$28</f>
        <v>2.9613691391171208E+38</v>
      </c>
      <c r="WJY28" s="613">
        <f t="shared" ref="WJY28" si="7939">WJW$28*$C$28</f>
        <v>2.990982830508292E+38</v>
      </c>
      <c r="WKA28" s="613">
        <f t="shared" ref="WKA28" si="7940">WJY$28*$C$28</f>
        <v>3.0208926588133749E+38</v>
      </c>
      <c r="WKC28" s="613">
        <f t="shared" ref="WKC28" si="7941">WKA$28*$C$28</f>
        <v>3.0511015854015086E+38</v>
      </c>
      <c r="WKE28" s="613">
        <f t="shared" ref="WKE28" si="7942">WKC$28*$C$28</f>
        <v>3.0816126012555237E+38</v>
      </c>
      <c r="WKG28" s="613">
        <f t="shared" ref="WKG28" si="7943">WKE$28*$C$28</f>
        <v>3.1124287272680791E+38</v>
      </c>
      <c r="WKI28" s="613">
        <f t="shared" ref="WKI28" si="7944">WKG$28*$C$28</f>
        <v>3.1435530145407599E+38</v>
      </c>
      <c r="WKK28" s="613">
        <f t="shared" ref="WKK28" si="7945">WKI$28*$C$28</f>
        <v>3.1749885446861676E+38</v>
      </c>
      <c r="WKM28" s="613">
        <f t="shared" ref="WKM28" si="7946">WKK$28*$C$28</f>
        <v>3.2067384301330292E+38</v>
      </c>
      <c r="WKO28" s="613">
        <f t="shared" ref="WKO28" si="7947">WKM$28*$C$28</f>
        <v>3.2388058144343596E+38</v>
      </c>
      <c r="WKQ28" s="613">
        <f t="shared" ref="WKQ28" si="7948">WKO$28*$C$28</f>
        <v>3.2711938725787032E+38</v>
      </c>
      <c r="WKS28" s="613">
        <f t="shared" ref="WKS28" si="7949">WKQ$28*$C$28</f>
        <v>3.3039058113044904E+38</v>
      </c>
      <c r="WKU28" s="613">
        <f t="shared" ref="WKU28" si="7950">WKS$28*$C$28</f>
        <v>3.3369448694175352E+38</v>
      </c>
      <c r="WKW28" s="613">
        <f t="shared" ref="WKW28" si="7951">WKU$28*$C$28</f>
        <v>3.3703143181117104E+38</v>
      </c>
      <c r="WKY28" s="613">
        <f t="shared" ref="WKY28" si="7952">WKW$28*$C$28</f>
        <v>3.4040174612928274E+38</v>
      </c>
      <c r="WLA28" s="613">
        <f t="shared" ref="WLA28" si="7953">WKY$28*$C$28</f>
        <v>3.4380576359057553E+38</v>
      </c>
      <c r="WLC28" s="613">
        <f t="shared" ref="WLC28" si="7954">WLA$28*$C$28</f>
        <v>3.4724382122648127E+38</v>
      </c>
      <c r="WLE28" s="613">
        <f t="shared" ref="WLE28" si="7955">WLC$28*$C$28</f>
        <v>3.5071625943874609E+38</v>
      </c>
      <c r="WLG28" s="613">
        <f t="shared" ref="WLG28" si="7956">WLE$28*$C$28</f>
        <v>3.5422342203313357E+38</v>
      </c>
      <c r="WLI28" s="613">
        <f t="shared" ref="WLI28" si="7957">WLG$28*$C$28</f>
        <v>3.5776565625346494E+38</v>
      </c>
      <c r="WLK28" s="613">
        <f t="shared" ref="WLK28" si="7958">WLI$28*$C$28</f>
        <v>3.6134331281599956E+38</v>
      </c>
      <c r="WLM28" s="613">
        <f t="shared" ref="WLM28" si="7959">WLK$28*$C$28</f>
        <v>3.6495674594415959E+38</v>
      </c>
      <c r="WLO28" s="613">
        <f t="shared" ref="WLO28" si="7960">WLM$28*$C$28</f>
        <v>3.6860631340360119E+38</v>
      </c>
      <c r="WLQ28" s="613">
        <f t="shared" ref="WLQ28" si="7961">WLO$28*$C$28</f>
        <v>3.7229237653763722E+38</v>
      </c>
      <c r="WLS28" s="613">
        <f t="shared" ref="WLS28" si="7962">WLQ$28*$C$28</f>
        <v>3.7601530030301359E+38</v>
      </c>
      <c r="WLU28" s="613">
        <f t="shared" ref="WLU28" si="7963">WLS$28*$C$28</f>
        <v>3.7977545330604372E+38</v>
      </c>
      <c r="WLW28" s="613">
        <f t="shared" ref="WLW28" si="7964">WLU$28*$C$28</f>
        <v>3.8357320783910419E+38</v>
      </c>
      <c r="WLY28" s="613">
        <f t="shared" ref="WLY28" si="7965">WLW$28*$C$28</f>
        <v>3.8740893991749525E+38</v>
      </c>
      <c r="WMA28" s="613">
        <f t="shared" ref="WMA28" si="7966">WLY$28*$C$28</f>
        <v>3.9128302931667023E+38</v>
      </c>
      <c r="WMC28" s="613">
        <f t="shared" ref="WMC28" si="7967">WMA$28*$C$28</f>
        <v>3.9519585960983694E+38</v>
      </c>
      <c r="WME28" s="613">
        <f t="shared" ref="WME28" si="7968">WMC$28*$C$28</f>
        <v>3.9914781820593534E+38</v>
      </c>
      <c r="WMG28" s="613">
        <f t="shared" ref="WMG28" si="7969">WME$28*$C$28</f>
        <v>4.0313929638799466E+38</v>
      </c>
      <c r="WMI28" s="613">
        <f t="shared" ref="WMI28" si="7970">WMG$28*$C$28</f>
        <v>4.0717068935187462E+38</v>
      </c>
      <c r="WMK28" s="613">
        <f t="shared" ref="WMK28" si="7971">WMI$28*$C$28</f>
        <v>4.112423962453934E+38</v>
      </c>
      <c r="WMM28" s="613">
        <f t="shared" ref="WMM28" si="7972">WMK$28*$C$28</f>
        <v>4.1535482020784731E+38</v>
      </c>
      <c r="WMO28" s="613">
        <f t="shared" ref="WMO28" si="7973">WMM$28*$C$28</f>
        <v>4.195083684099258E+38</v>
      </c>
      <c r="WMQ28" s="613">
        <f t="shared" ref="WMQ28" si="7974">WMO$28*$C$28</f>
        <v>4.2370345209402506E+38</v>
      </c>
      <c r="WMS28" s="613">
        <f t="shared" ref="WMS28" si="7975">WMQ$28*$C$28</f>
        <v>4.2794048661496532E+38</v>
      </c>
      <c r="WMU28" s="613">
        <f t="shared" ref="WMU28" si="7976">WMS$28*$C$28</f>
        <v>4.3221989148111495E+38</v>
      </c>
      <c r="WMW28" s="613">
        <f t="shared" ref="WMW28" si="7977">WMU$28*$C$28</f>
        <v>4.3654209039592608E+38</v>
      </c>
      <c r="WMY28" s="613">
        <f t="shared" ref="WMY28" si="7978">WMW$28*$C$28</f>
        <v>4.4090751129988534E+38</v>
      </c>
      <c r="WNA28" s="613">
        <f t="shared" ref="WNA28" si="7979">WMY$28*$C$28</f>
        <v>4.4531658641288417E+38</v>
      </c>
      <c r="WNC28" s="613">
        <f t="shared" ref="WNC28" si="7980">WNA$28*$C$28</f>
        <v>4.49769752277013E+38</v>
      </c>
      <c r="WNE28" s="613">
        <f t="shared" ref="WNE28" si="7981">WNC$28*$C$28</f>
        <v>4.5426744979978315E+38</v>
      </c>
      <c r="WNG28" s="613">
        <f t="shared" ref="WNG28" si="7982">WNE$28*$C$28</f>
        <v>4.58810124297781E+38</v>
      </c>
      <c r="WNI28" s="613">
        <f t="shared" ref="WNI28" si="7983">WNG$28*$C$28</f>
        <v>4.633982255407588E+38</v>
      </c>
      <c r="WNK28" s="613">
        <f t="shared" ref="WNK28" si="7984">WNI$28*$C$28</f>
        <v>4.6803220779616642E+38</v>
      </c>
      <c r="WNM28" s="613">
        <f t="shared" ref="WNM28" si="7985">WNK$28*$C$28</f>
        <v>4.7271252987412811E+38</v>
      </c>
      <c r="WNO28" s="613">
        <f t="shared" ref="WNO28" si="7986">WNM$28*$C$28</f>
        <v>4.7743965517286942E+38</v>
      </c>
      <c r="WNQ28" s="613">
        <f t="shared" ref="WNQ28" si="7987">WNO$28*$C$28</f>
        <v>4.8221405172459811E+38</v>
      </c>
      <c r="WNS28" s="613">
        <f t="shared" ref="WNS28" si="7988">WNQ$28*$C$28</f>
        <v>4.870361922418441E+38</v>
      </c>
      <c r="WNU28" s="613">
        <f t="shared" ref="WNU28" si="7989">WNS$28*$C$28</f>
        <v>4.9190655416426251E+38</v>
      </c>
      <c r="WNW28" s="613">
        <f t="shared" ref="WNW28" si="7990">WNU$28*$C$28</f>
        <v>4.9682561970590514E+38</v>
      </c>
      <c r="WNY28" s="613">
        <f t="shared" ref="WNY28" si="7991">WNW$28*$C$28</f>
        <v>5.0179387590296419E+38</v>
      </c>
      <c r="WOA28" s="613">
        <f t="shared" ref="WOA28" si="7992">WNY$28*$C$28</f>
        <v>5.0681181466199387E+38</v>
      </c>
      <c r="WOC28" s="613">
        <f t="shared" ref="WOC28" si="7993">WOA$28*$C$28</f>
        <v>5.118799328086138E+38</v>
      </c>
      <c r="WOE28" s="613">
        <f t="shared" ref="WOE28" si="7994">WOC$28*$C$28</f>
        <v>5.1699873213669993E+38</v>
      </c>
      <c r="WOG28" s="613">
        <f t="shared" ref="WOG28" si="7995">WOE$28*$C$28</f>
        <v>5.2216871945806694E+38</v>
      </c>
      <c r="WOI28" s="613">
        <f t="shared" ref="WOI28" si="7996">WOG$28*$C$28</f>
        <v>5.2739040665264764E+38</v>
      </c>
      <c r="WOK28" s="613">
        <f t="shared" ref="WOK28" si="7997">WOI$28*$C$28</f>
        <v>5.3266431071917409E+38</v>
      </c>
      <c r="WOM28" s="613">
        <f t="shared" ref="WOM28" si="7998">WOK$28*$C$28</f>
        <v>5.3799095382636586E+38</v>
      </c>
      <c r="WOO28" s="613">
        <f t="shared" ref="WOO28" si="7999">WOM$28*$C$28</f>
        <v>5.4337086336462952E+38</v>
      </c>
      <c r="WOQ28" s="613">
        <f t="shared" ref="WOQ28" si="8000">WOO$28*$C$28</f>
        <v>5.4880457199827585E+38</v>
      </c>
      <c r="WOS28" s="613">
        <f t="shared" ref="WOS28" si="8001">WOQ$28*$C$28</f>
        <v>5.5429261771825863E+38</v>
      </c>
      <c r="WOU28" s="613">
        <f t="shared" ref="WOU28" si="8002">WOS$28*$C$28</f>
        <v>5.5983554389544124E+38</v>
      </c>
      <c r="WOW28" s="613">
        <f t="shared" ref="WOW28" si="8003">WOU$28*$C$28</f>
        <v>5.6543389933439564E+38</v>
      </c>
      <c r="WOY28" s="613">
        <f t="shared" ref="WOY28" si="8004">WOW$28*$C$28</f>
        <v>5.7108823832773963E+38</v>
      </c>
      <c r="WPA28" s="613">
        <f t="shared" ref="WPA28" si="8005">WOY$28*$C$28</f>
        <v>5.7679912071101702E+38</v>
      </c>
      <c r="WPC28" s="613">
        <f t="shared" ref="WPC28" si="8006">WPA$28*$C$28</f>
        <v>5.825671119181272E+38</v>
      </c>
      <c r="WPE28" s="613">
        <f t="shared" ref="WPE28" si="8007">WPC$28*$C$28</f>
        <v>5.8839278303730851E+38</v>
      </c>
      <c r="WPG28" s="613">
        <f t="shared" ref="WPG28" si="8008">WPE$28*$C$28</f>
        <v>5.9427671086768159E+38</v>
      </c>
      <c r="WPI28" s="613">
        <f t="shared" ref="WPI28" si="8009">WPG$28*$C$28</f>
        <v>6.0021947797635838E+38</v>
      </c>
      <c r="WPK28" s="613">
        <f t="shared" ref="WPK28" si="8010">WPI$28*$C$28</f>
        <v>6.0622167275612197E+38</v>
      </c>
      <c r="WPM28" s="613">
        <f t="shared" ref="WPM28" si="8011">WPK$28*$C$28</f>
        <v>6.1228388948368321E+38</v>
      </c>
      <c r="WPO28" s="613">
        <f t="shared" ref="WPO28" si="8012">WPM$28*$C$28</f>
        <v>6.1840672837852003E+38</v>
      </c>
      <c r="WPQ28" s="613">
        <f t="shared" ref="WPQ28" si="8013">WPO$28*$C$28</f>
        <v>6.2459079566230521E+38</v>
      </c>
      <c r="WPS28" s="613">
        <f t="shared" ref="WPS28" si="8014">WPQ$28*$C$28</f>
        <v>6.3083670361892829E+38</v>
      </c>
      <c r="WPU28" s="613">
        <f t="shared" ref="WPU28" si="8015">WPS$28*$C$28</f>
        <v>6.3714507065511757E+38</v>
      </c>
      <c r="WPW28" s="613">
        <f t="shared" ref="WPW28" si="8016">WPU$28*$C$28</f>
        <v>6.4351652136166876E+38</v>
      </c>
      <c r="WPY28" s="613">
        <f t="shared" ref="WPY28" si="8017">WPW$28*$C$28</f>
        <v>6.4995168657528544E+38</v>
      </c>
      <c r="WQA28" s="613">
        <f t="shared" ref="WQA28" si="8018">WPY$28*$C$28</f>
        <v>6.564512034410383E+38</v>
      </c>
      <c r="WQC28" s="613">
        <f t="shared" ref="WQC28" si="8019">WQA$28*$C$28</f>
        <v>6.630157154754487E+38</v>
      </c>
      <c r="WQE28" s="613">
        <f t="shared" ref="WQE28" si="8020">WQC$28*$C$28</f>
        <v>6.6964587263020322E+38</v>
      </c>
      <c r="WQG28" s="613">
        <f t="shared" ref="WQG28" si="8021">WQE$28*$C$28</f>
        <v>6.7634233135650523E+38</v>
      </c>
      <c r="WQI28" s="613">
        <f t="shared" ref="WQI28" si="8022">WQG$28*$C$28</f>
        <v>6.831057546700703E+38</v>
      </c>
      <c r="WQK28" s="613">
        <f t="shared" ref="WQK28" si="8023">WQI$28*$C$28</f>
        <v>6.8993681221677101E+38</v>
      </c>
      <c r="WQM28" s="613">
        <f t="shared" ref="WQM28" si="8024">WQK$28*$C$28</f>
        <v>6.968361803389387E+38</v>
      </c>
      <c r="WQO28" s="613">
        <f t="shared" ref="WQO28" si="8025">WQM$28*$C$28</f>
        <v>7.0380454214232808E+38</v>
      </c>
      <c r="WQQ28" s="613">
        <f t="shared" ref="WQQ28" si="8026">WQO$28*$C$28</f>
        <v>7.1084258756375144E+38</v>
      </c>
      <c r="WQS28" s="613">
        <f t="shared" ref="WQS28" si="8027">WQQ$28*$C$28</f>
        <v>7.1795101343938894E+38</v>
      </c>
      <c r="WQU28" s="613">
        <f t="shared" ref="WQU28" si="8028">WQS$28*$C$28</f>
        <v>7.2513052357378285E+38</v>
      </c>
      <c r="WQW28" s="613">
        <f t="shared" ref="WQW28" si="8029">WQU$28*$C$28</f>
        <v>7.3238182880952072E+38</v>
      </c>
      <c r="WQY28" s="613">
        <f t="shared" ref="WQY28" si="8030">WQW$28*$C$28</f>
        <v>7.3970564709761588E+38</v>
      </c>
      <c r="WRA28" s="613">
        <f t="shared" ref="WRA28" si="8031">WQY$28*$C$28</f>
        <v>7.4710270356859202E+38</v>
      </c>
      <c r="WRC28" s="613">
        <f t="shared" ref="WRC28" si="8032">WRA$28*$C$28</f>
        <v>7.545737306042779E+38</v>
      </c>
      <c r="WRE28" s="613">
        <f t="shared" ref="WRE28" si="8033">WRC$28*$C$28</f>
        <v>7.6211946791032074E+38</v>
      </c>
      <c r="WRG28" s="613">
        <f t="shared" ref="WRG28" si="8034">WRE$28*$C$28</f>
        <v>7.6974066258942398E+38</v>
      </c>
      <c r="WRI28" s="613">
        <f t="shared" ref="WRI28" si="8035">WRG$28*$C$28</f>
        <v>7.7743806921531816E+38</v>
      </c>
      <c r="WRK28" s="613">
        <f t="shared" ref="WRK28" si="8036">WRI$28*$C$28</f>
        <v>7.852124499074714E+38</v>
      </c>
      <c r="WRM28" s="613">
        <f t="shared" ref="WRM28" si="8037">WRK$28*$C$28</f>
        <v>7.930645744065461E+38</v>
      </c>
      <c r="WRO28" s="613">
        <f t="shared" ref="WRO28" si="8038">WRM$28*$C$28</f>
        <v>8.0099522015061156E+38</v>
      </c>
      <c r="WRQ28" s="613">
        <f t="shared" ref="WRQ28" si="8039">WRO$28*$C$28</f>
        <v>8.0900517235211761E+38</v>
      </c>
      <c r="WRS28" s="613">
        <f t="shared" ref="WRS28" si="8040">WRQ$28*$C$28</f>
        <v>8.1709522407563873E+38</v>
      </c>
      <c r="WRU28" s="613">
        <f t="shared" ref="WRU28" si="8041">WRS$28*$C$28</f>
        <v>8.2526617631639508E+38</v>
      </c>
      <c r="WRW28" s="613">
        <f t="shared" ref="WRW28" si="8042">WRU$28*$C$28</f>
        <v>8.33518838079559E+38</v>
      </c>
      <c r="WRY28" s="613">
        <f t="shared" ref="WRY28" si="8043">WRW$28*$C$28</f>
        <v>8.4185402646035459E+38</v>
      </c>
      <c r="WSA28" s="613">
        <f t="shared" ref="WSA28" si="8044">WRY$28*$C$28</f>
        <v>8.5027256672495818E+38</v>
      </c>
      <c r="WSC28" s="613">
        <f t="shared" ref="WSC28" si="8045">WSA$28*$C$28</f>
        <v>8.5877529239220778E+38</v>
      </c>
      <c r="WSE28" s="613">
        <f t="shared" ref="WSE28" si="8046">WSC$28*$C$28</f>
        <v>8.673630453161298E+38</v>
      </c>
      <c r="WSG28" s="613">
        <f t="shared" ref="WSG28" si="8047">WSE$28*$C$28</f>
        <v>8.7603667576929118E+38</v>
      </c>
      <c r="WSI28" s="613">
        <f t="shared" ref="WSI28" si="8048">WSG$28*$C$28</f>
        <v>8.8479704252698412E+38</v>
      </c>
      <c r="WSK28" s="613">
        <f t="shared" ref="WSK28" si="8049">WSI$28*$C$28</f>
        <v>8.9364501295225392E+38</v>
      </c>
      <c r="WSM28" s="613">
        <f t="shared" ref="WSM28" si="8050">WSK$28*$C$28</f>
        <v>9.0258146308177642E+38</v>
      </c>
      <c r="WSO28" s="613">
        <f t="shared" ref="WSO28" si="8051">WSM$28*$C$28</f>
        <v>9.1160727771259413E+38</v>
      </c>
      <c r="WSQ28" s="613">
        <f t="shared" ref="WSQ28" si="8052">WSO$28*$C$28</f>
        <v>9.2072335048972005E+38</v>
      </c>
      <c r="WSS28" s="613">
        <f t="shared" ref="WSS28" si="8053">WSQ$28*$C$28</f>
        <v>9.2993058399461725E+38</v>
      </c>
      <c r="WSU28" s="613">
        <f t="shared" ref="WSU28" si="8054">WSS$28*$C$28</f>
        <v>9.3922988983456343E+38</v>
      </c>
      <c r="WSW28" s="613">
        <f t="shared" ref="WSW28" si="8055">WSU$28*$C$28</f>
        <v>9.4862218873290901E+38</v>
      </c>
      <c r="WSY28" s="613">
        <f t="shared" ref="WSY28" si="8056">WSW$28*$C$28</f>
        <v>9.5810841062023817E+38</v>
      </c>
      <c r="WTA28" s="613">
        <f t="shared" ref="WTA28" si="8057">WSY$28*$C$28</f>
        <v>9.6768949472644062E+38</v>
      </c>
      <c r="WTC28" s="613">
        <f t="shared" ref="WTC28" si="8058">WTA$28*$C$28</f>
        <v>9.7736638967370507E+38</v>
      </c>
      <c r="WTE28" s="613">
        <f t="shared" ref="WTE28" si="8059">WTC$28*$C$28</f>
        <v>9.8714005357044213E+38</v>
      </c>
      <c r="WTG28" s="613">
        <f t="shared" ref="WTG28" si="8060">WTE$28*$C$28</f>
        <v>9.9701145410614653E+38</v>
      </c>
      <c r="WTI28" s="613">
        <f t="shared" ref="WTI28" si="8061">WTG$28*$C$28</f>
        <v>1.0069815686472081E+39</v>
      </c>
      <c r="WTK28" s="613">
        <f t="shared" ref="WTK28" si="8062">WTI$28*$C$28</f>
        <v>1.0170513843336802E+39</v>
      </c>
      <c r="WTM28" s="613">
        <f t="shared" ref="WTM28" si="8063">WTK$28*$C$28</f>
        <v>1.027221898177017E+39</v>
      </c>
      <c r="WTO28" s="613">
        <f t="shared" ref="WTO28" si="8064">WTM$28*$C$28</f>
        <v>1.0374941171587872E+39</v>
      </c>
      <c r="WTQ28" s="613">
        <f t="shared" ref="WTQ28" si="8065">WTO$28*$C$28</f>
        <v>1.0478690583303751E+39</v>
      </c>
      <c r="WTS28" s="613">
        <f t="shared" ref="WTS28" si="8066">WTQ$28*$C$28</f>
        <v>1.0583477489136789E+39</v>
      </c>
      <c r="WTU28" s="613">
        <f t="shared" ref="WTU28" si="8067">WTS$28*$C$28</f>
        <v>1.0689312264028158E+39</v>
      </c>
      <c r="WTW28" s="613">
        <f t="shared" ref="WTW28" si="8068">WTU$28*$C$28</f>
        <v>1.0796205386668439E+39</v>
      </c>
      <c r="WTY28" s="613">
        <f t="shared" ref="WTY28" si="8069">WTW$28*$C$28</f>
        <v>1.0904167440535124E+39</v>
      </c>
      <c r="WUA28" s="613">
        <f t="shared" ref="WUA28" si="8070">WTY$28*$C$28</f>
        <v>1.1013209114940475E+39</v>
      </c>
      <c r="WUC28" s="613">
        <f t="shared" ref="WUC28" si="8071">WUA$28*$C$28</f>
        <v>1.1123341206089879E+39</v>
      </c>
      <c r="WUE28" s="613">
        <f t="shared" ref="WUE28" si="8072">WUC$28*$C$28</f>
        <v>1.1234574618150778E+39</v>
      </c>
      <c r="WUG28" s="613">
        <f t="shared" ref="WUG28" si="8073">WUE$28*$C$28</f>
        <v>1.1346920364332285E+39</v>
      </c>
      <c r="WUI28" s="613">
        <f t="shared" ref="WUI28" si="8074">WUG$28*$C$28</f>
        <v>1.1460389567975608E+39</v>
      </c>
      <c r="WUK28" s="613">
        <f t="shared" ref="WUK28" si="8075">WUI$28*$C$28</f>
        <v>1.1574993463655363E+39</v>
      </c>
      <c r="WUM28" s="613">
        <f t="shared" ref="WUM28" si="8076">WUK$28*$C$28</f>
        <v>1.1690743398291917E+39</v>
      </c>
      <c r="WUO28" s="613">
        <f t="shared" ref="WUO28" si="8077">WUM$28*$C$28</f>
        <v>1.1807650832274836E+39</v>
      </c>
      <c r="WUQ28" s="613">
        <f t="shared" ref="WUQ28" si="8078">WUO$28*$C$28</f>
        <v>1.1925727340597585E+39</v>
      </c>
      <c r="WUS28" s="613">
        <f t="shared" ref="WUS28" si="8079">WUQ$28*$C$28</f>
        <v>1.204498461400356E+39</v>
      </c>
      <c r="WUU28" s="613">
        <f t="shared" ref="WUU28" si="8080">WUS$28*$C$28</f>
        <v>1.2165434460143596E+39</v>
      </c>
      <c r="WUW28" s="613">
        <f t="shared" ref="WUW28" si="8081">WUU$28*$C$28</f>
        <v>1.2287088804745031E+39</v>
      </c>
      <c r="WUY28" s="613">
        <f t="shared" ref="WUY28" si="8082">WUW$28*$C$28</f>
        <v>1.2409959692792482E+39</v>
      </c>
      <c r="WVA28" s="613">
        <f t="shared" ref="WVA28" si="8083">WUY$28*$C$28</f>
        <v>1.2534059289720408E+39</v>
      </c>
      <c r="WVC28" s="613">
        <f t="shared" ref="WVC28" si="8084">WVA$28*$C$28</f>
        <v>1.2659399882617611E+39</v>
      </c>
      <c r="WVE28" s="613">
        <f t="shared" ref="WVE28" si="8085">WVC$28*$C$28</f>
        <v>1.2785993881443788E+39</v>
      </c>
      <c r="WVG28" s="613">
        <f t="shared" ref="WVG28" si="8086">WVE$28*$C$28</f>
        <v>1.2913853820258226E+39</v>
      </c>
      <c r="WVI28" s="613">
        <f t="shared" ref="WVI28" si="8087">WVG$28*$C$28</f>
        <v>1.3042992358460809E+39</v>
      </c>
      <c r="WVK28" s="613">
        <f t="shared" ref="WVK28" si="8088">WVI$28*$C$28</f>
        <v>1.3173422282045418E+39</v>
      </c>
      <c r="WVM28" s="613">
        <f t="shared" ref="WVM28" si="8089">WVK$28*$C$28</f>
        <v>1.3305156504865872E+39</v>
      </c>
      <c r="WVO28" s="613">
        <f t="shared" ref="WVO28" si="8090">WVM$28*$C$28</f>
        <v>1.3438208069914531E+39</v>
      </c>
      <c r="WVQ28" s="613">
        <f t="shared" ref="WVQ28" si="8091">WVO$28*$C$28</f>
        <v>1.3572590150613677E+39</v>
      </c>
      <c r="WVS28" s="613">
        <f t="shared" ref="WVS28" si="8092">WVQ$28*$C$28</f>
        <v>1.3708316052119814E+39</v>
      </c>
      <c r="WVU28" s="613">
        <f t="shared" ref="WVU28" si="8093">WVS$28*$C$28</f>
        <v>1.3845399212641013E+39</v>
      </c>
      <c r="WVW28" s="613">
        <f t="shared" ref="WVW28" si="8094">WVU$28*$C$28</f>
        <v>1.3983853204767422E+39</v>
      </c>
      <c r="WVY28" s="613">
        <f t="shared" ref="WVY28" si="8095">WVW$28*$C$28</f>
        <v>1.4123691736815097E+39</v>
      </c>
      <c r="WWA28" s="613">
        <f t="shared" ref="WWA28" si="8096">WVY$28*$C$28</f>
        <v>1.4264928654183247E+39</v>
      </c>
      <c r="WWC28" s="613">
        <f t="shared" ref="WWC28" si="8097">WWA$28*$C$28</f>
        <v>1.4407577940725079E+39</v>
      </c>
      <c r="WWE28" s="613">
        <f t="shared" ref="WWE28" si="8098">WWC$28*$C$28</f>
        <v>1.455165372013233E+39</v>
      </c>
      <c r="WWG28" s="613">
        <f t="shared" ref="WWG28" si="8099">WWE$28*$C$28</f>
        <v>1.4697170257333652E+39</v>
      </c>
      <c r="WWI28" s="613">
        <f t="shared" ref="WWI28" si="8100">WWG$28*$C$28</f>
        <v>1.484414195990699E+39</v>
      </c>
      <c r="WWK28" s="613">
        <f t="shared" ref="WWK28" si="8101">WWI$28*$C$28</f>
        <v>1.4992583379506061E+39</v>
      </c>
      <c r="WWM28" s="613">
        <f t="shared" ref="WWM28" si="8102">WWK$28*$C$28</f>
        <v>1.5142509213301122E+39</v>
      </c>
      <c r="WWO28" s="613">
        <f t="shared" ref="WWO28" si="8103">WWM$28*$C$28</f>
        <v>1.5293934305434133E+39</v>
      </c>
      <c r="WWQ28" s="613">
        <f t="shared" ref="WWQ28" si="8104">WWO$28*$C$28</f>
        <v>1.5446873648488474E+39</v>
      </c>
      <c r="WWS28" s="613">
        <f t="shared" ref="WWS28" si="8105">WWQ$28*$C$28</f>
        <v>1.560134238497336E+39</v>
      </c>
      <c r="WWU28" s="613">
        <f t="shared" ref="WWU28" si="8106">WWS$28*$C$28</f>
        <v>1.5757355808823093E+39</v>
      </c>
      <c r="WWW28" s="613">
        <f t="shared" ref="WWW28" si="8107">WWU$28*$C$28</f>
        <v>1.5914929366911323E+39</v>
      </c>
      <c r="WWY28" s="613">
        <f t="shared" ref="WWY28" si="8108">WWW$28*$C$28</f>
        <v>1.6074078660580438E+39</v>
      </c>
      <c r="WXA28" s="613">
        <f t="shared" ref="WXA28" si="8109">WWY$28*$C$28</f>
        <v>1.6234819447186243E+39</v>
      </c>
      <c r="WXC28" s="613">
        <f t="shared" ref="WXC28" si="8110">WXA$28*$C$28</f>
        <v>1.6397167641658104E+39</v>
      </c>
      <c r="WXE28" s="613">
        <f t="shared" ref="WXE28" si="8111">WXC$28*$C$28</f>
        <v>1.6561139318074686E+39</v>
      </c>
      <c r="WXG28" s="613">
        <f t="shared" ref="WXG28" si="8112">WXE$28*$C$28</f>
        <v>1.6726750711255433E+39</v>
      </c>
      <c r="WXI28" s="613">
        <f t="shared" ref="WXI28" si="8113">WXG$28*$C$28</f>
        <v>1.6894018218367986E+39</v>
      </c>
      <c r="WXK28" s="613">
        <f t="shared" ref="WXK28" si="8114">WXI$28*$C$28</f>
        <v>1.7062958400551667E+39</v>
      </c>
      <c r="WXM28" s="613">
        <f t="shared" ref="WXM28" si="8115">WXK$28*$C$28</f>
        <v>1.7233587984557185E+39</v>
      </c>
      <c r="WXO28" s="613">
        <f t="shared" ref="WXO28" si="8116">WXM$28*$C$28</f>
        <v>1.7405923864402757E+39</v>
      </c>
      <c r="WXQ28" s="613">
        <f t="shared" ref="WXQ28" si="8117">WXO$28*$C$28</f>
        <v>1.7579983103046784E+39</v>
      </c>
      <c r="WXS28" s="613">
        <f t="shared" ref="WXS28" si="8118">WXQ$28*$C$28</f>
        <v>1.7755782934077253E+39</v>
      </c>
      <c r="WXU28" s="613">
        <f t="shared" ref="WXU28" si="8119">WXS$28*$C$28</f>
        <v>1.7933340763418028E+39</v>
      </c>
      <c r="WXW28" s="613">
        <f t="shared" ref="WXW28" si="8120">WXU$28*$C$28</f>
        <v>1.8112674171052207E+39</v>
      </c>
      <c r="WXY28" s="613">
        <f t="shared" ref="WXY28" si="8121">WXW$28*$C$28</f>
        <v>1.8293800912762731E+39</v>
      </c>
      <c r="WYA28" s="613">
        <f t="shared" ref="WYA28" si="8122">WXY$28*$C$28</f>
        <v>1.8476738921890359E+39</v>
      </c>
      <c r="WYC28" s="613">
        <f t="shared" ref="WYC28" si="8123">WYA$28*$C$28</f>
        <v>1.8661506311109264E+39</v>
      </c>
      <c r="WYE28" s="613">
        <f t="shared" ref="WYE28" si="8124">WYC$28*$C$28</f>
        <v>1.8848121374220356E+39</v>
      </c>
      <c r="WYG28" s="613">
        <f t="shared" ref="WYG28" si="8125">WYE$28*$C$28</f>
        <v>1.903660258796256E+39</v>
      </c>
      <c r="WYI28" s="613">
        <f t="shared" ref="WYI28" si="8126">WYG$28*$C$28</f>
        <v>1.9226968613842187E+39</v>
      </c>
      <c r="WYK28" s="613">
        <f t="shared" ref="WYK28" si="8127">WYI$28*$C$28</f>
        <v>1.9419238299980608E+39</v>
      </c>
      <c r="WYM28" s="613">
        <f t="shared" ref="WYM28" si="8128">WYK$28*$C$28</f>
        <v>1.9613430682980415E+39</v>
      </c>
      <c r="WYO28" s="613">
        <f t="shared" ref="WYO28" si="8129">WYM$28*$C$28</f>
        <v>1.9809564989810218E+39</v>
      </c>
      <c r="WYQ28" s="613">
        <f t="shared" ref="WYQ28" si="8130">WYO$28*$C$28</f>
        <v>2.000766063970832E+39</v>
      </c>
      <c r="WYS28" s="613">
        <f t="shared" ref="WYS28" si="8131">WYQ$28*$C$28</f>
        <v>2.0207737246105403E+39</v>
      </c>
      <c r="WYU28" s="613">
        <f t="shared" ref="WYU28" si="8132">WYS$28*$C$28</f>
        <v>2.0409814618566456E+39</v>
      </c>
      <c r="WYW28" s="613">
        <f t="shared" ref="WYW28" si="8133">WYU$28*$C$28</f>
        <v>2.061391276475212E+39</v>
      </c>
      <c r="WYY28" s="613">
        <f t="shared" ref="WYY28" si="8134">WYW$28*$C$28</f>
        <v>2.082005189239964E+39</v>
      </c>
      <c r="WZA28" s="613">
        <f t="shared" ref="WZA28" si="8135">WYY$28*$C$28</f>
        <v>2.1028252411323637E+39</v>
      </c>
      <c r="WZC28" s="613">
        <f t="shared" ref="WZC28" si="8136">WZA$28*$C$28</f>
        <v>2.1238534935436875E+39</v>
      </c>
      <c r="WZE28" s="613">
        <f t="shared" ref="WZE28" si="8137">WZC$28*$C$28</f>
        <v>2.1450920284791243E+39</v>
      </c>
      <c r="WZG28" s="613">
        <f t="shared" ref="WZG28" si="8138">WZE$28*$C$28</f>
        <v>2.1665429487639155E+39</v>
      </c>
      <c r="WZI28" s="613">
        <f t="shared" ref="WZI28" si="8139">WZG$28*$C$28</f>
        <v>2.1882083782515546E+39</v>
      </c>
      <c r="WZK28" s="613">
        <f t="shared" ref="WZK28" si="8140">WZI$28*$C$28</f>
        <v>2.2100904620340703E+39</v>
      </c>
      <c r="WZM28" s="613">
        <f t="shared" ref="WZM28" si="8141">WZK$28*$C$28</f>
        <v>2.2321913666544111E+39</v>
      </c>
      <c r="WZO28" s="613">
        <f t="shared" ref="WZO28" si="8142">WZM$28*$C$28</f>
        <v>2.2545132803209552E+39</v>
      </c>
      <c r="WZQ28" s="613">
        <f t="shared" ref="WZQ28" si="8143">WZO$28*$C$28</f>
        <v>2.2770584131241648E+39</v>
      </c>
      <c r="WZS28" s="613">
        <f t="shared" ref="WZS28" si="8144">WZQ$28*$C$28</f>
        <v>2.2998289972554064E+39</v>
      </c>
      <c r="WZU28" s="613">
        <f t="shared" ref="WZU28" si="8145">WZS$28*$C$28</f>
        <v>2.3228272872279606E+39</v>
      </c>
      <c r="WZW28" s="613">
        <f t="shared" ref="WZW28" si="8146">WZU$28*$C$28</f>
        <v>2.3460555601002404E+39</v>
      </c>
      <c r="WZY28" s="613">
        <f t="shared" ref="WZY28" si="8147">WZW$28*$C$28</f>
        <v>2.3695161157012427E+39</v>
      </c>
      <c r="XAA28" s="613">
        <f t="shared" ref="XAA28" si="8148">WZY$28*$C$28</f>
        <v>2.3932112768582551E+39</v>
      </c>
      <c r="XAC28" s="613">
        <f t="shared" ref="XAC28" si="8149">XAA$28*$C$28</f>
        <v>2.4171433896268377E+39</v>
      </c>
      <c r="XAE28" s="613">
        <f t="shared" ref="XAE28" si="8150">XAC$28*$C$28</f>
        <v>2.441314823523106E+39</v>
      </c>
      <c r="XAG28" s="613">
        <f t="shared" ref="XAG28" si="8151">XAE$28*$C$28</f>
        <v>2.465727971758337E+39</v>
      </c>
      <c r="XAI28" s="613">
        <f t="shared" ref="XAI28" si="8152">XAG$28*$C$28</f>
        <v>2.4903852514759205E+39</v>
      </c>
      <c r="XAK28" s="613">
        <f t="shared" ref="XAK28" si="8153">XAI$28*$C$28</f>
        <v>2.5152891039906796E+39</v>
      </c>
      <c r="XAM28" s="613">
        <f t="shared" ref="XAM28" si="8154">XAK$28*$C$28</f>
        <v>2.5404419950305865E+39</v>
      </c>
      <c r="XAO28" s="613">
        <f t="shared" ref="XAO28" si="8155">XAM$28*$C$28</f>
        <v>2.5658464149808926E+39</v>
      </c>
      <c r="XAQ28" s="613">
        <f t="shared" ref="XAQ28" si="8156">XAO$28*$C$28</f>
        <v>2.5915048791307014E+39</v>
      </c>
      <c r="XAS28" s="613">
        <f t="shared" ref="XAS28" si="8157">XAQ$28*$C$28</f>
        <v>2.6174199279220085E+39</v>
      </c>
      <c r="XAU28" s="613">
        <f t="shared" ref="XAU28" si="8158">XAS$28*$C$28</f>
        <v>2.6435941272012285E+39</v>
      </c>
      <c r="XAW28" s="613">
        <f t="shared" ref="XAW28" si="8159">XAU$28*$C$28</f>
        <v>2.6700300684732408E+39</v>
      </c>
      <c r="XAY28" s="613">
        <f t="shared" ref="XAY28" si="8160">XAW$28*$C$28</f>
        <v>2.6967303691579732E+39</v>
      </c>
      <c r="XBA28" s="613">
        <f t="shared" ref="XBA28" si="8161">XAY$28*$C$28</f>
        <v>2.7236976728495527E+39</v>
      </c>
      <c r="XBC28" s="613">
        <f t="shared" ref="XBC28" si="8162">XBA$28*$C$28</f>
        <v>2.7509346495780483E+39</v>
      </c>
      <c r="XBE28" s="613">
        <f t="shared" ref="XBE28" si="8163">XBC$28*$C$28</f>
        <v>2.7784439960738285E+39</v>
      </c>
      <c r="XBG28" s="613">
        <f t="shared" ref="XBG28" si="8164">XBE$28*$C$28</f>
        <v>2.806228436034567E+39</v>
      </c>
      <c r="XBI28" s="613">
        <f t="shared" ref="XBI28" si="8165">XBG$28*$C$28</f>
        <v>2.8342907203949127E+39</v>
      </c>
      <c r="XBK28" s="613">
        <f t="shared" ref="XBK28" si="8166">XBI$28*$C$28</f>
        <v>2.8626336275988621E+39</v>
      </c>
      <c r="XBM28" s="613">
        <f t="shared" ref="XBM28" si="8167">XBK$28*$C$28</f>
        <v>2.8912599638748505E+39</v>
      </c>
      <c r="XBO28" s="613">
        <f t="shared" ref="XBO28" si="8168">XBM$28*$C$28</f>
        <v>2.9201725635135991E+39</v>
      </c>
      <c r="XBQ28" s="613">
        <f t="shared" ref="XBQ28" si="8169">XBO$28*$C$28</f>
        <v>2.9493742891487354E+39</v>
      </c>
      <c r="XBS28" s="613">
        <f t="shared" ref="XBS28" si="8170">XBQ$28*$C$28</f>
        <v>2.9788680320402227E+39</v>
      </c>
      <c r="XBU28" s="613">
        <f t="shared" ref="XBU28" si="8171">XBS$28*$C$28</f>
        <v>3.0086567123606248E+39</v>
      </c>
      <c r="XBW28" s="613">
        <f t="shared" ref="XBW28" si="8172">XBU$28*$C$28</f>
        <v>3.0387432794842312E+39</v>
      </c>
      <c r="XBY28" s="613">
        <f t="shared" ref="XBY28" si="8173">XBW$28*$C$28</f>
        <v>3.0691307122790733E+39</v>
      </c>
      <c r="XCA28" s="613">
        <f t="shared" ref="XCA28" si="8174">XBY$28*$C$28</f>
        <v>3.0998220194018639E+39</v>
      </c>
      <c r="XCC28" s="613">
        <f t="shared" ref="XCC28" si="8175">XCA$28*$C$28</f>
        <v>3.1308202395958826E+39</v>
      </c>
      <c r="XCE28" s="613">
        <f t="shared" ref="XCE28" si="8176">XCC$28*$C$28</f>
        <v>3.1621284419918415E+39</v>
      </c>
      <c r="XCG28" s="613">
        <f t="shared" ref="XCG28" si="8177">XCE$28*$C$28</f>
        <v>3.1937497264117598E+39</v>
      </c>
      <c r="XCI28" s="613">
        <f t="shared" ref="XCI28" si="8178">XCG$28*$C$28</f>
        <v>3.2256872236758774E+39</v>
      </c>
      <c r="XCK28" s="613">
        <f t="shared" ref="XCK28" si="8179">XCI$28*$C$28</f>
        <v>3.2579440959126364E+39</v>
      </c>
      <c r="XCM28" s="613">
        <f t="shared" ref="XCM28" si="8180">XCK$28*$C$28</f>
        <v>3.2905235368717629E+39</v>
      </c>
      <c r="XCO28" s="613">
        <f t="shared" ref="XCO28" si="8181">XCM$28*$C$28</f>
        <v>3.3234287722404807E+39</v>
      </c>
      <c r="XCQ28" s="613">
        <f t="shared" ref="XCQ28" si="8182">XCO$28*$C$28</f>
        <v>3.3566630599628856E+39</v>
      </c>
      <c r="XCS28" s="613">
        <f t="shared" ref="XCS28" si="8183">XCQ$28*$C$28</f>
        <v>3.3902296905625142E+39</v>
      </c>
      <c r="XCU28" s="613">
        <f t="shared" ref="XCU28" si="8184">XCS$28*$C$28</f>
        <v>3.4241319874681392E+39</v>
      </c>
      <c r="XCW28" s="613">
        <f t="shared" ref="XCW28" si="8185">XCU$28*$C$28</f>
        <v>3.4583733073428205E+39</v>
      </c>
      <c r="XCY28" s="613">
        <f t="shared" ref="XCY28" si="8186">XCW$28*$C$28</f>
        <v>3.492957040416249E+39</v>
      </c>
      <c r="XDA28" s="613">
        <f t="shared" ref="XDA28" si="8187">XCY$28*$C$28</f>
        <v>3.5278866108204118E+39</v>
      </c>
      <c r="XDC28" s="613">
        <f t="shared" ref="XDC28" si="8188">XDA$28*$C$28</f>
        <v>3.5631654769286159E+39</v>
      </c>
      <c r="XDE28" s="613">
        <f t="shared" ref="XDE28" si="8189">XDC$28*$C$28</f>
        <v>3.5987971316979019E+39</v>
      </c>
      <c r="XDG28" s="613">
        <f t="shared" ref="XDG28" si="8190">XDE$28*$C$28</f>
        <v>3.6347851030148809E+39</v>
      </c>
      <c r="XDI28" s="613">
        <f t="shared" ref="XDI28" si="8191">XDG$28*$C$28</f>
        <v>3.6711329540450295E+39</v>
      </c>
      <c r="XDK28" s="613">
        <f t="shared" ref="XDK28" si="8192">XDI$28*$C$28</f>
        <v>3.7078442835854801E+39</v>
      </c>
      <c r="XDM28" s="613">
        <f t="shared" ref="XDM28" si="8193">XDK$28*$C$28</f>
        <v>3.7449227264213352E+39</v>
      </c>
      <c r="XDO28" s="613">
        <f t="shared" ref="XDO28" si="8194">XDM$28*$C$28</f>
        <v>3.7823719536855485E+39</v>
      </c>
      <c r="XDQ28" s="613">
        <f t="shared" ref="XDQ28" si="8195">XDO$28*$C$28</f>
        <v>3.8201956732224039E+39</v>
      </c>
      <c r="XDS28" s="613">
        <f t="shared" ref="XDS28" si="8196">XDQ$28*$C$28</f>
        <v>3.8583976299546281E+39</v>
      </c>
      <c r="XDU28" s="613">
        <f t="shared" ref="XDU28" si="8197">XDS$28*$C$28</f>
        <v>3.8969816062541742E+39</v>
      </c>
      <c r="XDW28" s="613">
        <f t="shared" ref="XDW28" si="8198">XDU$28*$C$28</f>
        <v>3.9359514223167158E+39</v>
      </c>
      <c r="XDY28" s="613">
        <f t="shared" ref="XDY28" si="8199">XDW$28*$C$28</f>
        <v>3.9753109365398829E+39</v>
      </c>
      <c r="XEA28" s="613">
        <f t="shared" ref="XEA28" si="8200">XDY$28*$C$28</f>
        <v>4.0150640459052816E+39</v>
      </c>
      <c r="XEC28" s="613">
        <f t="shared" ref="XEC28" si="8201">XEA$28*$C$28</f>
        <v>4.0552146863643342E+39</v>
      </c>
      <c r="XEE28" s="613">
        <f t="shared" ref="XEE28" si="8202">XEC$28*$C$28</f>
        <v>4.0957668332279778E+39</v>
      </c>
      <c r="XEG28" s="613">
        <f t="shared" ref="XEG28" si="8203">XEE$28*$C$28</f>
        <v>4.1367245015602576E+39</v>
      </c>
      <c r="XEI28" s="613">
        <f t="shared" ref="XEI28" si="8204">XEG$28*$C$28</f>
        <v>4.1780917465758604E+39</v>
      </c>
      <c r="XEK28" s="613">
        <f t="shared" ref="XEK28" si="8205">XEI$28*$C$28</f>
        <v>4.2198726640416188E+39</v>
      </c>
      <c r="XEM28" s="613">
        <f t="shared" ref="XEM28" si="8206">XEK$28*$C$28</f>
        <v>4.2620713906820353E+39</v>
      </c>
      <c r="XEO28" s="613">
        <f t="shared" ref="XEO28" si="8207">XEM$28*$C$28</f>
        <v>4.3046921045888557E+39</v>
      </c>
      <c r="XEQ28" s="613">
        <f t="shared" ref="XEQ28" si="8208">XEO$28*$C$28</f>
        <v>4.3477390256347443E+39</v>
      </c>
      <c r="XES28" s="613">
        <f t="shared" ref="XES28" si="8209">XEQ$28*$C$28</f>
        <v>4.3912164158910917E+39</v>
      </c>
      <c r="XEU28" s="613">
        <f t="shared" ref="XEU28" si="8210">XES$28*$C$28</f>
        <v>4.4351285800500026E+39</v>
      </c>
      <c r="XEW28" s="613">
        <f t="shared" ref="XEW28" si="8211">XEU$28*$C$28</f>
        <v>4.4794798658505026E+39</v>
      </c>
      <c r="XEY28" s="613">
        <f t="shared" ref="XEY28" si="8212">XEW$28*$C$28</f>
        <v>4.524274664509008E+39</v>
      </c>
      <c r="XFA28" s="613">
        <f t="shared" ref="XFA28" si="8213">XEY$28*$C$28</f>
        <v>4.569517411154098E+39</v>
      </c>
      <c r="XFC28" s="613">
        <f t="shared" ref="XFC28" si="8214">XFA$28*$C$28</f>
        <v>4.6152125852656393E+39</v>
      </c>
    </row>
    <row r="29" spans="1:1023 1025:2047 2049:3071 3073:4095 4097:5119 5121:6143 6145:7167 7169:8191 8193:9215 9217:10239 10241:11263 11265:12287 12289:13311 13313:14335 14337:15359 15361:16383" s="1379" customFormat="1" ht="13.8">
      <c r="A29" s="1398" t="s">
        <v>2226</v>
      </c>
      <c r="B29" s="600"/>
      <c r="C29" s="636">
        <v>1</v>
      </c>
      <c r="D29" s="600"/>
      <c r="E29" s="613">
        <f>Application!AC866</f>
        <v>7150</v>
      </c>
      <c r="F29" s="613"/>
      <c r="G29" s="613">
        <f>E29*$C$29</f>
        <v>7150</v>
      </c>
      <c r="H29" s="613"/>
      <c r="I29" s="613">
        <f>G29*$C$29</f>
        <v>7150</v>
      </c>
      <c r="J29" s="613"/>
      <c r="K29" s="613">
        <f>I29*$C$29</f>
        <v>7150</v>
      </c>
      <c r="L29" s="613"/>
      <c r="M29" s="613">
        <f>K29*$C$29</f>
        <v>7150</v>
      </c>
      <c r="N29" s="613"/>
      <c r="O29" s="613">
        <f>M29*$C$29</f>
        <v>7150</v>
      </c>
      <c r="P29" s="613"/>
      <c r="Q29" s="613">
        <f>O29*$C$29</f>
        <v>7150</v>
      </c>
      <c r="R29" s="613"/>
      <c r="S29" s="613">
        <f>Q29*$C$29</f>
        <v>7150</v>
      </c>
      <c r="T29" s="613"/>
      <c r="U29" s="613">
        <f>S29*$C$29</f>
        <v>7150</v>
      </c>
      <c r="V29" s="613"/>
      <c r="W29" s="613">
        <f>U29*$C$29</f>
        <v>7150</v>
      </c>
      <c r="X29" s="613"/>
      <c r="Y29" s="613">
        <f>W29*$C$29</f>
        <v>7150</v>
      </c>
      <c r="Z29" s="613"/>
      <c r="AA29" s="613">
        <f>Y29*$C$29</f>
        <v>7150</v>
      </c>
      <c r="AB29" s="613"/>
      <c r="AC29" s="613">
        <f>AA29*$C$29</f>
        <v>7150</v>
      </c>
      <c r="AD29" s="613"/>
      <c r="AE29" s="613">
        <f>AC29*$C$29</f>
        <v>7150</v>
      </c>
      <c r="AF29" s="613"/>
      <c r="AG29" s="613">
        <f>AE29*$C$29</f>
        <v>7150</v>
      </c>
    </row>
    <row r="30" spans="1:1023 1025:2047 2049:3071 3073:4095 4097:5119 5121:6143 6145:7167 7169:8191 8193:9215 9217:10239 10241:11263 11265:12287 12289:13311 13313:14335 14337:15359 15361:16383" ht="13.8">
      <c r="A30" s="1398" t="s">
        <v>1200</v>
      </c>
      <c r="B30" s="600"/>
      <c r="C30" s="634">
        <v>1.02</v>
      </c>
      <c r="D30" s="600"/>
      <c r="E30" s="613">
        <f>Application!AC867</f>
        <v>5000</v>
      </c>
      <c r="F30" s="613"/>
      <c r="G30" s="613">
        <f>E30*$C$30</f>
        <v>5100</v>
      </c>
      <c r="H30" s="613"/>
      <c r="I30" s="613">
        <f>G30*$C$30</f>
        <v>5202</v>
      </c>
      <c r="J30" s="613"/>
      <c r="K30" s="613">
        <f>I30*$C$30</f>
        <v>5306.04</v>
      </c>
      <c r="L30" s="613"/>
      <c r="M30" s="613">
        <f>K30*$C$30</f>
        <v>5412.1607999999997</v>
      </c>
      <c r="N30" s="613"/>
      <c r="O30" s="613">
        <f>M30*$C$30</f>
        <v>5520.4040159999995</v>
      </c>
      <c r="P30" s="613"/>
      <c r="Q30" s="613">
        <f>O30*$C$30</f>
        <v>5630.8120963199999</v>
      </c>
      <c r="R30" s="613"/>
      <c r="S30" s="613">
        <f>Q30*$C$30</f>
        <v>5743.4283382464</v>
      </c>
      <c r="T30" s="613"/>
      <c r="U30" s="613">
        <f>S30*$C$30</f>
        <v>5858.2969050113279</v>
      </c>
      <c r="V30" s="613"/>
      <c r="W30" s="613">
        <f>U30*$C$30</f>
        <v>5975.4628431115543</v>
      </c>
      <c r="X30" s="613"/>
      <c r="Y30" s="613">
        <f>W30*$C$30</f>
        <v>6094.9720999737856</v>
      </c>
      <c r="Z30" s="613"/>
      <c r="AA30" s="613">
        <f>Y30*$C$30</f>
        <v>6216.8715419732616</v>
      </c>
      <c r="AB30" s="613"/>
      <c r="AC30" s="613">
        <f>AA30*$C$30</f>
        <v>6341.2089728127266</v>
      </c>
      <c r="AD30" s="613"/>
      <c r="AE30" s="613">
        <f>AC30*$C$30</f>
        <v>6468.0331522689812</v>
      </c>
      <c r="AF30" s="613"/>
      <c r="AG30" s="613">
        <f>AE30*$C$30</f>
        <v>6597.3938153143608</v>
      </c>
    </row>
    <row r="31" spans="1:1023 1025:2047 2049:3071 3073:4095 4097:5119 5121:6143 6145:7167 7169:8191 8193:9215 9217:10239 10241:11263 11265:12287 12289:13311 13313:14335 14337:15359 15361:16383" s="1379" customFormat="1" ht="13.8">
      <c r="A31" s="1398" t="s">
        <v>2227</v>
      </c>
      <c r="B31" s="600"/>
      <c r="C31" s="634">
        <v>1.02</v>
      </c>
      <c r="D31" s="600"/>
      <c r="E31" s="613">
        <f>Application!AC868</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1023 1025:2047 2049:3071 3073:4095 4097:5119 5121:6143 6145:7167 7169:8191 8193:9215 9217:10239 10241:11263 11265:12287 12289:13311 13313:14335 14337:15359 15361:16383" ht="13.8">
      <c r="A32" s="617" t="str">
        <f>Application!E869</f>
        <v>Other (Specify):</v>
      </c>
      <c r="B32" s="617"/>
      <c r="C32" s="775">
        <v>1.0349999999999999</v>
      </c>
      <c r="D32" s="600"/>
      <c r="E32" s="613">
        <f>Application!AC869</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17" t="str">
        <f>Application!E870</f>
        <v>Other (Specify):</v>
      </c>
      <c r="B33" s="617"/>
      <c r="C33" s="775">
        <v>1.0349999999999999</v>
      </c>
      <c r="D33" s="600"/>
      <c r="E33" s="613">
        <f>Application!AC870</f>
        <v>0</v>
      </c>
      <c r="F33" s="613"/>
      <c r="G33" s="613">
        <f>E33*$C$33</f>
        <v>0</v>
      </c>
      <c r="H33" s="613"/>
      <c r="I33" s="613">
        <f>G33*$C$33</f>
        <v>0</v>
      </c>
      <c r="J33" s="613"/>
      <c r="K33" s="613">
        <f>I33*$C$33</f>
        <v>0</v>
      </c>
      <c r="L33" s="613"/>
      <c r="M33" s="613">
        <f>K33*$C$33</f>
        <v>0</v>
      </c>
      <c r="N33" s="613"/>
      <c r="O33" s="613">
        <f>M33*$C$33</f>
        <v>0</v>
      </c>
      <c r="P33" s="613"/>
      <c r="Q33" s="613">
        <f>O33*$C$33</f>
        <v>0</v>
      </c>
      <c r="R33" s="613"/>
      <c r="S33" s="613">
        <f>Q33*$C$33</f>
        <v>0</v>
      </c>
      <c r="T33" s="613"/>
      <c r="U33" s="613">
        <f>S33*$C$33</f>
        <v>0</v>
      </c>
      <c r="V33" s="613"/>
      <c r="W33" s="613">
        <f>U33*$C$33</f>
        <v>0</v>
      </c>
      <c r="X33" s="613"/>
      <c r="Y33" s="613">
        <f>W33*$C$33</f>
        <v>0</v>
      </c>
      <c r="Z33" s="613"/>
      <c r="AA33" s="613">
        <f>Y33*$C$33</f>
        <v>0</v>
      </c>
      <c r="AB33" s="613"/>
      <c r="AC33" s="613">
        <f>AA33*$C$33</f>
        <v>0</v>
      </c>
      <c r="AD33" s="613"/>
      <c r="AE33" s="613">
        <f>AC33*$C$33</f>
        <v>0</v>
      </c>
      <c r="AF33" s="613"/>
      <c r="AG33" s="613">
        <f>AE33*$C$33</f>
        <v>0</v>
      </c>
    </row>
    <row r="34" spans="1:35" ht="13.8">
      <c r="A34" s="600"/>
      <c r="B34" s="600"/>
      <c r="C34" s="611"/>
      <c r="D34" s="600"/>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row>
    <row r="35" spans="1:35" ht="13.8">
      <c r="A35" s="614" t="s">
        <v>165</v>
      </c>
      <c r="B35" s="614"/>
      <c r="C35" s="615"/>
      <c r="D35" s="614"/>
      <c r="E35" s="614">
        <f>SUM(E22:E33)</f>
        <v>621650</v>
      </c>
      <c r="F35" s="614"/>
      <c r="G35" s="614">
        <f>SUM(G22:G33)</f>
        <v>640736</v>
      </c>
      <c r="H35" s="614"/>
      <c r="I35" s="614">
        <f>SUM(I22:I33)</f>
        <v>660436.93499999994</v>
      </c>
      <c r="J35" s="614"/>
      <c r="K35" s="614">
        <f>SUM(K22:K33)</f>
        <v>680773.07922499976</v>
      </c>
      <c r="L35" s="614"/>
      <c r="M35" s="614">
        <f>SUM(M22:M33)</f>
        <v>701765.38614412467</v>
      </c>
      <c r="N35" s="614"/>
      <c r="O35" s="614">
        <f>SUM(O22:O33)</f>
        <v>723435.51149541291</v>
      </c>
      <c r="P35" s="614"/>
      <c r="Q35" s="614">
        <f>SUM(Q22:Q33)</f>
        <v>745805.83709788288</v>
      </c>
      <c r="R35" s="614"/>
      <c r="S35" s="614">
        <f>SUM(S22:S33)</f>
        <v>768899.49547797407</v>
      </c>
      <c r="T35" s="614"/>
      <c r="U35" s="614">
        <f>SUM(U22:U33)</f>
        <v>792740.39533838455</v>
      </c>
      <c r="V35" s="614"/>
      <c r="W35" s="614">
        <f>SUM(W22:W33)</f>
        <v>817353.24789830996</v>
      </c>
      <c r="X35" s="614"/>
      <c r="Y35" s="614">
        <f>SUM(Y22:Y33)</f>
        <v>842763.59413507872</v>
      </c>
      <c r="Z35" s="614"/>
      <c r="AA35" s="614">
        <f>SUM(AA22:AA33)</f>
        <v>868997.83295822609</v>
      </c>
      <c r="AB35" s="614"/>
      <c r="AC35" s="614">
        <f>SUM(AC22:AC33)</f>
        <v>896083.25034811557</v>
      </c>
      <c r="AD35" s="614"/>
      <c r="AE35" s="614">
        <f>SUM(AE22:AE33)</f>
        <v>924048.04949233227</v>
      </c>
      <c r="AF35" s="614"/>
      <c r="AG35" s="614">
        <f>SUM(AG22:AG33)</f>
        <v>952921.38195422164</v>
      </c>
    </row>
    <row r="36" spans="1:35" ht="13.8">
      <c r="A36" s="600"/>
      <c r="B36" s="600"/>
      <c r="C36" s="611"/>
      <c r="D36" s="600"/>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row>
    <row r="37" spans="1:35" ht="13.8">
      <c r="A37" s="614" t="s">
        <v>1201</v>
      </c>
      <c r="B37" s="614"/>
      <c r="C37" s="615"/>
      <c r="D37" s="614"/>
      <c r="E37" s="614">
        <f>E11-E35</f>
        <v>626672.43999999994</v>
      </c>
      <c r="F37" s="614"/>
      <c r="G37" s="614">
        <f>G11-G35</f>
        <v>638794.50099999993</v>
      </c>
      <c r="H37" s="614"/>
      <c r="I37" s="614">
        <f>I11-I35</f>
        <v>651081.82852499967</v>
      </c>
      <c r="J37" s="614"/>
      <c r="K37" s="614">
        <f>K11-K35</f>
        <v>663533.65338812466</v>
      </c>
      <c r="L37" s="614"/>
      <c r="M37" s="614">
        <f>M11-M35</f>
        <v>676149.01478432794</v>
      </c>
      <c r="N37" s="614"/>
      <c r="O37" s="614">
        <f>O11-O35</f>
        <v>688926.74945625069</v>
      </c>
      <c r="P37" s="614"/>
      <c r="Q37" s="614">
        <f>Q11-Q35</f>
        <v>701865.48037757247</v>
      </c>
      <c r="R37" s="614"/>
      <c r="S37" s="614">
        <f>S11-S35</f>
        <v>714963.60493436747</v>
      </c>
      <c r="T37" s="614"/>
      <c r="U37" s="614">
        <f>U11-U35</f>
        <v>728219.28258426546</v>
      </c>
      <c r="V37" s="614"/>
      <c r="W37" s="614">
        <f>W11-W35</f>
        <v>741630.42197240586</v>
      </c>
      <c r="X37" s="614"/>
      <c r="Y37" s="614">
        <f>Y11-Y35</f>
        <v>755194.66748240509</v>
      </c>
      <c r="Z37" s="614"/>
      <c r="AA37" s="614">
        <f>AA11-AA35</f>
        <v>768909.38519969489</v>
      </c>
      <c r="AB37" s="614"/>
      <c r="AC37" s="614">
        <f>AC11-AC35</f>
        <v>782771.64826375316</v>
      </c>
      <c r="AD37" s="614"/>
      <c r="AE37" s="614">
        <f>AE11-AE35</f>
        <v>796778.22158483358</v>
      </c>
      <c r="AF37" s="614"/>
      <c r="AG37" s="614">
        <f>AG11-AG35</f>
        <v>810925.54589987278</v>
      </c>
    </row>
    <row r="38" spans="1:35" ht="13.8">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09" t="s">
        <v>1202</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3.8">
      <c r="A40" s="616" t="str">
        <f>Application!C630</f>
        <v>JP Morgan Chase Bank / Perm Loan</v>
      </c>
      <c r="B40" s="617"/>
      <c r="C40" s="611"/>
      <c r="D40" s="600"/>
      <c r="E40" s="610">
        <f>Application!AF630</f>
        <v>526285.36556964042</v>
      </c>
      <c r="F40" s="610"/>
      <c r="G40" s="610">
        <f>$E$40</f>
        <v>526285.36556964042</v>
      </c>
      <c r="H40" s="610"/>
      <c r="I40" s="610">
        <f>$E$40</f>
        <v>526285.36556964042</v>
      </c>
      <c r="J40" s="610"/>
      <c r="K40" s="610">
        <f>$E$40</f>
        <v>526285.36556964042</v>
      </c>
      <c r="L40" s="610"/>
      <c r="M40" s="610">
        <f>$E$40</f>
        <v>526285.36556964042</v>
      </c>
      <c r="N40" s="610"/>
      <c r="O40" s="610">
        <f>$E$40</f>
        <v>526285.36556964042</v>
      </c>
      <c r="P40" s="610"/>
      <c r="Q40" s="610">
        <f>$E$40</f>
        <v>526285.36556964042</v>
      </c>
      <c r="R40" s="610"/>
      <c r="S40" s="610">
        <f>$E$40</f>
        <v>526285.36556964042</v>
      </c>
      <c r="T40" s="610"/>
      <c r="U40" s="610">
        <f>$E$40</f>
        <v>526285.36556964042</v>
      </c>
      <c r="V40" s="610"/>
      <c r="W40" s="610">
        <f>$E$40</f>
        <v>526285.36556964042</v>
      </c>
      <c r="X40" s="610"/>
      <c r="Y40" s="610">
        <f>$E$40</f>
        <v>526285.36556964042</v>
      </c>
      <c r="Z40" s="610"/>
      <c r="AA40" s="610">
        <f>$E$40</f>
        <v>526285.36556964042</v>
      </c>
      <c r="AB40" s="610"/>
      <c r="AC40" s="610">
        <f>$E$40</f>
        <v>526285.36556964042</v>
      </c>
      <c r="AD40" s="610"/>
      <c r="AE40" s="610">
        <f>$E$40</f>
        <v>526285.36556964042</v>
      </c>
      <c r="AF40" s="610"/>
      <c r="AG40" s="610">
        <f>$E$40</f>
        <v>526285.36556964042</v>
      </c>
      <c r="AH40" s="600"/>
      <c r="AI40" s="600"/>
    </row>
    <row r="41" spans="1:35" ht="13.8">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3.8">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00"/>
    </row>
    <row r="43" spans="1:35" ht="13.8">
      <c r="A43" s="614" t="s">
        <v>1203</v>
      </c>
      <c r="B43" s="614"/>
      <c r="C43" s="615"/>
      <c r="D43" s="614"/>
      <c r="E43" s="614">
        <f>SUM(E40:E42)</f>
        <v>526285.36556964042</v>
      </c>
      <c r="F43" s="614"/>
      <c r="G43" s="614">
        <f>SUM(G40:G42)</f>
        <v>526285.36556964042</v>
      </c>
      <c r="H43" s="614"/>
      <c r="I43" s="614">
        <f>SUM(I40:I42)</f>
        <v>526285.36556964042</v>
      </c>
      <c r="J43" s="614"/>
      <c r="K43" s="614">
        <f>SUM(K40:K42)</f>
        <v>526285.36556964042</v>
      </c>
      <c r="L43" s="614"/>
      <c r="M43" s="614">
        <f>SUM(M40:M42)</f>
        <v>526285.36556964042</v>
      </c>
      <c r="N43" s="614"/>
      <c r="O43" s="614">
        <f>SUM(O40:O42)</f>
        <v>526285.36556964042</v>
      </c>
      <c r="P43" s="614"/>
      <c r="Q43" s="614">
        <f>SUM(Q40:Q42)</f>
        <v>526285.36556964042</v>
      </c>
      <c r="R43" s="614"/>
      <c r="S43" s="614">
        <f>SUM(S40:S42)</f>
        <v>526285.36556964042</v>
      </c>
      <c r="T43" s="614"/>
      <c r="U43" s="614">
        <f>SUM(U40:U42)</f>
        <v>526285.36556964042</v>
      </c>
      <c r="V43" s="614"/>
      <c r="W43" s="614">
        <f>SUM(W40:W42)</f>
        <v>526285.36556964042</v>
      </c>
      <c r="X43" s="614"/>
      <c r="Y43" s="614">
        <f>SUM(Y40:Y42)</f>
        <v>526285.36556964042</v>
      </c>
      <c r="Z43" s="614"/>
      <c r="AA43" s="614">
        <f>SUM(AA40:AA42)</f>
        <v>526285.36556964042</v>
      </c>
      <c r="AB43" s="614"/>
      <c r="AC43" s="614">
        <f>SUM(AC40:AC42)</f>
        <v>526285.36556964042</v>
      </c>
      <c r="AD43" s="614"/>
      <c r="AE43" s="614">
        <f>SUM(AE40:AE42)</f>
        <v>526285.36556964042</v>
      </c>
      <c r="AF43" s="614"/>
      <c r="AG43" s="614">
        <f>SUM(AG40:AG42)</f>
        <v>526285.36556964042</v>
      </c>
      <c r="AH43" s="614"/>
      <c r="AI43" s="614"/>
    </row>
    <row r="44" spans="1:35" ht="13.8">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00"/>
    </row>
    <row r="45" spans="1:35" ht="13.8">
      <c r="A45" s="614" t="s">
        <v>1204</v>
      </c>
      <c r="B45" s="614"/>
      <c r="C45" s="615"/>
      <c r="D45" s="614"/>
      <c r="E45" s="614">
        <f>E37-E43</f>
        <v>100387.07443035953</v>
      </c>
      <c r="F45" s="614"/>
      <c r="G45" s="614">
        <f>G37-G43</f>
        <v>112509.13543035951</v>
      </c>
      <c r="H45" s="614"/>
      <c r="I45" s="614">
        <f>I37-I43</f>
        <v>124796.46295535925</v>
      </c>
      <c r="J45" s="614"/>
      <c r="K45" s="614">
        <f>K37-K43</f>
        <v>137248.28781848424</v>
      </c>
      <c r="L45" s="614"/>
      <c r="M45" s="614">
        <f>M37-M43</f>
        <v>149863.64921468752</v>
      </c>
      <c r="N45" s="614"/>
      <c r="O45" s="614">
        <f>O37-O43</f>
        <v>162641.38388661027</v>
      </c>
      <c r="P45" s="614"/>
      <c r="Q45" s="614">
        <f>Q37-Q43</f>
        <v>175580.11480793206</v>
      </c>
      <c r="R45" s="614"/>
      <c r="S45" s="614">
        <f>S37-S43</f>
        <v>188678.23936472705</v>
      </c>
      <c r="T45" s="614"/>
      <c r="U45" s="614">
        <f>U37-U43</f>
        <v>201933.91701462504</v>
      </c>
      <c r="V45" s="614"/>
      <c r="W45" s="614">
        <f>W37-W43</f>
        <v>215345.05640276545</v>
      </c>
      <c r="X45" s="614"/>
      <c r="Y45" s="614">
        <f>Y37-Y43</f>
        <v>228909.30191276467</v>
      </c>
      <c r="Z45" s="614"/>
      <c r="AA45" s="614">
        <f>AA37-AA43</f>
        <v>242624.01963005448</v>
      </c>
      <c r="AB45" s="614"/>
      <c r="AC45" s="614">
        <f>AC37-AC43</f>
        <v>256486.28269411274</v>
      </c>
      <c r="AD45" s="614"/>
      <c r="AE45" s="614">
        <f>AE37-AE43</f>
        <v>270492.85601519316</v>
      </c>
      <c r="AF45" s="614"/>
      <c r="AG45" s="614">
        <f>AG37-AG43</f>
        <v>284640.18033023237</v>
      </c>
      <c r="AH45" s="614"/>
      <c r="AI45" s="614"/>
    </row>
    <row r="46" spans="1:35" ht="13.8">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00"/>
    </row>
    <row r="47" spans="1:35" ht="13.8">
      <c r="A47" s="618" t="s">
        <v>1205</v>
      </c>
      <c r="B47" s="618"/>
      <c r="C47" s="611"/>
      <c r="D47" s="618"/>
      <c r="E47" s="618">
        <f>E45/(E4+E6+E9)</f>
        <v>8.590629670717409E-2</v>
      </c>
      <c r="F47" s="618"/>
      <c r="G47" s="618">
        <f>G45/(G4+G6+G9)</f>
        <v>9.3931470617599072E-2</v>
      </c>
      <c r="H47" s="618"/>
      <c r="I47" s="618">
        <f>I45/(I4+I6+I9)</f>
        <v>0.1016486805308916</v>
      </c>
      <c r="J47" s="618"/>
      <c r="K47" s="618">
        <f>K45/(K4+K6+K9)</f>
        <v>0.10906428057561604</v>
      </c>
      <c r="L47" s="618"/>
      <c r="M47" s="618">
        <f>M45/(M4+M6+M9)</f>
        <v>0.11618445946522646</v>
      </c>
      <c r="N47" s="618"/>
      <c r="O47" s="618">
        <f>O45/(O4+O6+O9)</f>
        <v>0.12301524441856022</v>
      </c>
      <c r="P47" s="618"/>
      <c r="Q47" s="618">
        <f>Q45/(Q4+Q6+Q9)</f>
        <v>0.12956250498377617</v>
      </c>
      <c r="R47" s="618"/>
      <c r="S47" s="618">
        <f>S45/(S4+S6+S9)</f>
        <v>0.13583195676807375</v>
      </c>
      <c r="T47" s="618"/>
      <c r="U47" s="618">
        <f>U45/(U4+U6+U9)</f>
        <v>0.14182916507549176</v>
      </c>
      <c r="V47" s="618"/>
      <c r="W47" s="618">
        <f>W45/(W4+W6+W9)</f>
        <v>0.14755954845500344</v>
      </c>
      <c r="X47" s="618"/>
      <c r="Y47" s="618">
        <f>Y45/(Y4+Y6+Y9)</f>
        <v>0.15302838216109516</v>
      </c>
      <c r="Z47" s="618"/>
      <c r="AA47" s="618">
        <f>AA45/(AA4+AA6+AA9)</f>
        <v>0.1582408015289416</v>
      </c>
      <c r="AB47" s="618"/>
      <c r="AC47" s="618">
        <f>AC45/(AC4+AC6+AC9)</f>
        <v>0.16320180526625672</v>
      </c>
      <c r="AD47" s="618"/>
      <c r="AE47" s="618">
        <f>AE45/(AE4+AE6+AE9)</f>
        <v>0.16791625866383603</v>
      </c>
      <c r="AF47" s="618"/>
      <c r="AG47" s="618">
        <f>AG45/(AG4+AG6+AG9)</f>
        <v>0.17238889672675822</v>
      </c>
      <c r="AH47" s="618"/>
      <c r="AI47" s="618"/>
    </row>
    <row r="48" spans="1:35" ht="13.8">
      <c r="A48" s="618" t="s">
        <v>1206</v>
      </c>
      <c r="B48" s="618"/>
      <c r="C48" s="611"/>
      <c r="D48" s="618"/>
      <c r="E48" s="618">
        <f>E45/E43</f>
        <v>0.19074646759691413</v>
      </c>
      <c r="F48" s="618"/>
      <c r="G48" s="618">
        <f>G45/G43</f>
        <v>0.21377971494339756</v>
      </c>
      <c r="H48" s="618"/>
      <c r="I48" s="618">
        <f>I45/I43</f>
        <v>0.23712698683970082</v>
      </c>
      <c r="J48" s="618"/>
      <c r="K48" s="618">
        <f>K45/K43</f>
        <v>0.26078682174627738</v>
      </c>
      <c r="L48" s="618"/>
      <c r="M48" s="618">
        <f>M45/M43</f>
        <v>0.28475739402800648</v>
      </c>
      <c r="N48" s="618"/>
      <c r="O48" s="618">
        <f>O45/O43</f>
        <v>0.30903649336813804</v>
      </c>
      <c r="P48" s="618"/>
      <c r="Q48" s="618">
        <f>Q45/Q43</f>
        <v>0.33362150326541529</v>
      </c>
      <c r="R48" s="618"/>
      <c r="S48" s="618">
        <f>S45/S43</f>
        <v>0.35850937857735343</v>
      </c>
      <c r="T48" s="618"/>
      <c r="U48" s="618">
        <f>U45/U43</f>
        <v>0.38369662207129002</v>
      </c>
      <c r="V48" s="618"/>
      <c r="W48" s="618">
        <f>W45/W43</f>
        <v>0.40917925994328269</v>
      </c>
      <c r="X48" s="618"/>
      <c r="Y48" s="618">
        <f>Y45/Y43</f>
        <v>0.43495281626346949</v>
      </c>
      <c r="Z48" s="618"/>
      <c r="AA48" s="618">
        <f>AA45/AA43</f>
        <v>0.46101228630487046</v>
      </c>
      <c r="AB48" s="618"/>
      <c r="AC48" s="618">
        <f>AC45/AC43</f>
        <v>0.48735210871101703</v>
      </c>
      <c r="AD48" s="618"/>
      <c r="AE48" s="618">
        <f>AE45/AE43</f>
        <v>0.51396613645605982</v>
      </c>
      <c r="AF48" s="618"/>
      <c r="AG48" s="618">
        <f>AG45/AG43</f>
        <v>0.54084760654924102</v>
      </c>
      <c r="AH48" s="618"/>
      <c r="AI48" s="618"/>
    </row>
    <row r="49" spans="1:35" ht="13.8">
      <c r="A49" s="619" t="s">
        <v>1207</v>
      </c>
      <c r="B49" s="619"/>
      <c r="C49" s="620"/>
      <c r="D49" s="619"/>
      <c r="E49" s="619">
        <f>E37/E43</f>
        <v>1.1907464675969142</v>
      </c>
      <c r="F49" s="619"/>
      <c r="G49" s="619">
        <f>G37/G43</f>
        <v>1.2137797149433975</v>
      </c>
      <c r="H49" s="619"/>
      <c r="I49" s="619">
        <f>I37/I43</f>
        <v>1.2371269868397008</v>
      </c>
      <c r="J49" s="619"/>
      <c r="K49" s="619">
        <f>K37/K43</f>
        <v>1.2607868217462774</v>
      </c>
      <c r="L49" s="619"/>
      <c r="M49" s="619">
        <f>M37/M43</f>
        <v>1.2847573940280064</v>
      </c>
      <c r="N49" s="619"/>
      <c r="O49" s="619">
        <f>O37/O43</f>
        <v>1.309036493368138</v>
      </c>
      <c r="P49" s="619"/>
      <c r="Q49" s="619">
        <f>Q37/Q43</f>
        <v>1.3336215032654153</v>
      </c>
      <c r="R49" s="619"/>
      <c r="S49" s="619">
        <f>S37/S43</f>
        <v>1.3585093785773534</v>
      </c>
      <c r="T49" s="619"/>
      <c r="U49" s="619">
        <f>U37/U43</f>
        <v>1.3836966220712901</v>
      </c>
      <c r="V49" s="619"/>
      <c r="W49" s="619">
        <f>W37/W43</f>
        <v>1.4091792599432826</v>
      </c>
      <c r="X49" s="619"/>
      <c r="Y49" s="619">
        <f>Y37/Y43</f>
        <v>1.4349528162634695</v>
      </c>
      <c r="Z49" s="619"/>
      <c r="AA49" s="619">
        <f>AA37/AA43</f>
        <v>1.4610122863048705</v>
      </c>
      <c r="AB49" s="619"/>
      <c r="AC49" s="619">
        <f>AC37/AC43</f>
        <v>1.4873521087110171</v>
      </c>
      <c r="AD49" s="619"/>
      <c r="AE49" s="619">
        <f>AE37/AE43</f>
        <v>1.5139661364560599</v>
      </c>
      <c r="AF49" s="619"/>
      <c r="AG49" s="619">
        <f>AG37/AG43</f>
        <v>1.5408476065492411</v>
      </c>
      <c r="AH49" s="619"/>
      <c r="AI49" s="619"/>
    </row>
    <row r="50" spans="1:35" ht="13.8">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600"/>
    </row>
    <row r="51" spans="1:35">
      <c r="A51" s="582" t="s">
        <v>1208</v>
      </c>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s="1379" customFormat="1">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c r="A53" s="598" t="s">
        <v>1209</v>
      </c>
      <c r="B53" s="598"/>
      <c r="C53" s="1401"/>
      <c r="D53" s="598"/>
      <c r="E53" s="627"/>
      <c r="F53" s="598"/>
      <c r="G53" s="1403">
        <f>E53*$C$53</f>
        <v>0</v>
      </c>
      <c r="H53" s="1403"/>
      <c r="I53" s="1403">
        <f>G53*$C$53</f>
        <v>0</v>
      </c>
      <c r="J53" s="1403"/>
      <c r="K53" s="1403">
        <f>I53*$C$53</f>
        <v>0</v>
      </c>
      <c r="L53" s="1403"/>
      <c r="M53" s="1403">
        <f>K53*$C$53</f>
        <v>0</v>
      </c>
      <c r="N53" s="1403"/>
      <c r="O53" s="1403">
        <f>M53*$C$53</f>
        <v>0</v>
      </c>
      <c r="P53" s="1403"/>
      <c r="Q53" s="1403">
        <f>O53*$C$53</f>
        <v>0</v>
      </c>
      <c r="R53" s="1403"/>
      <c r="S53" s="1403">
        <f>Q53*$C$53</f>
        <v>0</v>
      </c>
      <c r="T53" s="1403"/>
      <c r="U53" s="1403">
        <f>S53*$C$53</f>
        <v>0</v>
      </c>
      <c r="V53" s="1403"/>
      <c r="W53" s="1403">
        <f>U53*$C$53</f>
        <v>0</v>
      </c>
      <c r="X53" s="1403"/>
      <c r="Y53" s="1403">
        <f>W53*$C$53</f>
        <v>0</v>
      </c>
      <c r="Z53" s="1403"/>
      <c r="AA53" s="1403">
        <f>Y53*$C$53</f>
        <v>0</v>
      </c>
      <c r="AB53" s="1403"/>
      <c r="AC53" s="1403">
        <f>AA53*$C$53</f>
        <v>0</v>
      </c>
      <c r="AD53" s="1403"/>
      <c r="AE53" s="1403">
        <f>AC53*$C$53</f>
        <v>0</v>
      </c>
      <c r="AF53" s="1403"/>
      <c r="AG53" s="1403">
        <f>AE53*$C$53</f>
        <v>0</v>
      </c>
      <c r="AH53" s="598"/>
      <c r="AI53" s="598"/>
    </row>
    <row r="54" spans="1:35">
      <c r="A54" s="582" t="s">
        <v>1210</v>
      </c>
      <c r="B54" s="582"/>
      <c r="C54" s="637"/>
      <c r="D54" s="582"/>
      <c r="E54" s="628"/>
      <c r="F54" s="607"/>
      <c r="G54" s="1402">
        <f t="shared" ref="G54:AG57" si="8215">E54*$C$53</f>
        <v>0</v>
      </c>
      <c r="H54" s="1402"/>
      <c r="I54" s="1402">
        <f t="shared" si="8215"/>
        <v>0</v>
      </c>
      <c r="J54" s="1402"/>
      <c r="K54" s="1402">
        <f t="shared" si="8215"/>
        <v>0</v>
      </c>
      <c r="L54" s="1402"/>
      <c r="M54" s="1402">
        <f t="shared" si="8215"/>
        <v>0</v>
      </c>
      <c r="N54" s="1402"/>
      <c r="O54" s="1402">
        <f t="shared" si="8215"/>
        <v>0</v>
      </c>
      <c r="P54" s="1402"/>
      <c r="Q54" s="1402">
        <f t="shared" si="8215"/>
        <v>0</v>
      </c>
      <c r="R54" s="1402"/>
      <c r="S54" s="1402">
        <f t="shared" si="8215"/>
        <v>0</v>
      </c>
      <c r="T54" s="1402"/>
      <c r="U54" s="1402">
        <f t="shared" si="8215"/>
        <v>0</v>
      </c>
      <c r="V54" s="1402"/>
      <c r="W54" s="1402">
        <f t="shared" si="8215"/>
        <v>0</v>
      </c>
      <c r="X54" s="1402"/>
      <c r="Y54" s="1402">
        <f t="shared" si="8215"/>
        <v>0</v>
      </c>
      <c r="Z54" s="1402"/>
      <c r="AA54" s="1402">
        <f t="shared" si="8215"/>
        <v>0</v>
      </c>
      <c r="AB54" s="1402"/>
      <c r="AC54" s="1402">
        <f t="shared" si="8215"/>
        <v>0</v>
      </c>
      <c r="AD54" s="1402"/>
      <c r="AE54" s="1402">
        <f t="shared" si="8215"/>
        <v>0</v>
      </c>
      <c r="AF54" s="1402"/>
      <c r="AG54" s="1402">
        <f t="shared" si="8215"/>
        <v>0</v>
      </c>
      <c r="AH54" s="607"/>
      <c r="AI54" s="607"/>
    </row>
    <row r="55" spans="1:35">
      <c r="A55" s="582" t="s">
        <v>1211</v>
      </c>
      <c r="B55" s="582"/>
      <c r="C55" s="637"/>
      <c r="D55" s="582"/>
      <c r="E55" s="628"/>
      <c r="F55" s="607"/>
      <c r="G55" s="1402">
        <f t="shared" si="8215"/>
        <v>0</v>
      </c>
      <c r="H55" s="1402"/>
      <c r="I55" s="1402">
        <f t="shared" si="8215"/>
        <v>0</v>
      </c>
      <c r="J55" s="1402"/>
      <c r="K55" s="1402">
        <f t="shared" si="8215"/>
        <v>0</v>
      </c>
      <c r="L55" s="1402"/>
      <c r="M55" s="1402">
        <f t="shared" si="8215"/>
        <v>0</v>
      </c>
      <c r="N55" s="1402"/>
      <c r="O55" s="1402">
        <f t="shared" si="8215"/>
        <v>0</v>
      </c>
      <c r="P55" s="1402"/>
      <c r="Q55" s="1402">
        <f t="shared" si="8215"/>
        <v>0</v>
      </c>
      <c r="R55" s="1402"/>
      <c r="S55" s="1402">
        <f t="shared" si="8215"/>
        <v>0</v>
      </c>
      <c r="T55" s="1402"/>
      <c r="U55" s="1402">
        <f t="shared" si="8215"/>
        <v>0</v>
      </c>
      <c r="V55" s="1402"/>
      <c r="W55" s="1402">
        <f t="shared" si="8215"/>
        <v>0</v>
      </c>
      <c r="X55" s="1402"/>
      <c r="Y55" s="1402">
        <f t="shared" si="8215"/>
        <v>0</v>
      </c>
      <c r="Z55" s="1402"/>
      <c r="AA55" s="1402">
        <f t="shared" si="8215"/>
        <v>0</v>
      </c>
      <c r="AB55" s="1402"/>
      <c r="AC55" s="1402">
        <f t="shared" si="8215"/>
        <v>0</v>
      </c>
      <c r="AD55" s="1402"/>
      <c r="AE55" s="1402">
        <f t="shared" si="8215"/>
        <v>0</v>
      </c>
      <c r="AF55" s="1402"/>
      <c r="AG55" s="1402">
        <f t="shared" si="8215"/>
        <v>0</v>
      </c>
      <c r="AH55" s="607"/>
      <c r="AI55" s="607"/>
    </row>
    <row r="56" spans="1:35">
      <c r="A56" s="626"/>
      <c r="B56" s="626"/>
      <c r="C56" s="637"/>
      <c r="D56" s="582"/>
      <c r="E56" s="628"/>
      <c r="F56" s="607"/>
      <c r="G56" s="1402">
        <f t="shared" si="8215"/>
        <v>0</v>
      </c>
      <c r="H56" s="1402"/>
      <c r="I56" s="1402">
        <f t="shared" si="8215"/>
        <v>0</v>
      </c>
      <c r="J56" s="1402"/>
      <c r="K56" s="1402">
        <f t="shared" si="8215"/>
        <v>0</v>
      </c>
      <c r="L56" s="1402"/>
      <c r="M56" s="1402">
        <f t="shared" si="8215"/>
        <v>0</v>
      </c>
      <c r="N56" s="1402"/>
      <c r="O56" s="1402">
        <f t="shared" si="8215"/>
        <v>0</v>
      </c>
      <c r="P56" s="1402"/>
      <c r="Q56" s="1402">
        <f t="shared" si="8215"/>
        <v>0</v>
      </c>
      <c r="R56" s="1402"/>
      <c r="S56" s="1402">
        <f t="shared" si="8215"/>
        <v>0</v>
      </c>
      <c r="T56" s="1402"/>
      <c r="U56" s="1402">
        <f t="shared" si="8215"/>
        <v>0</v>
      </c>
      <c r="V56" s="1402"/>
      <c r="W56" s="1402">
        <f t="shared" si="8215"/>
        <v>0</v>
      </c>
      <c r="X56" s="1402"/>
      <c r="Y56" s="1402">
        <f t="shared" si="8215"/>
        <v>0</v>
      </c>
      <c r="Z56" s="1402"/>
      <c r="AA56" s="1402">
        <f t="shared" si="8215"/>
        <v>0</v>
      </c>
      <c r="AB56" s="1402"/>
      <c r="AC56" s="1402">
        <f t="shared" si="8215"/>
        <v>0</v>
      </c>
      <c r="AD56" s="1402"/>
      <c r="AE56" s="1402">
        <f t="shared" si="8215"/>
        <v>0</v>
      </c>
      <c r="AF56" s="1402"/>
      <c r="AG56" s="1402">
        <f t="shared" si="8215"/>
        <v>0</v>
      </c>
      <c r="AH56" s="607"/>
      <c r="AI56" s="607"/>
    </row>
    <row r="57" spans="1:35">
      <c r="A57" s="626"/>
      <c r="B57" s="626"/>
      <c r="C57" s="637"/>
      <c r="D57" s="582"/>
      <c r="E57" s="633"/>
      <c r="F57" s="607"/>
      <c r="G57" s="1404">
        <f t="shared" si="8215"/>
        <v>0</v>
      </c>
      <c r="H57" s="1402"/>
      <c r="I57" s="1404">
        <f t="shared" si="8215"/>
        <v>0</v>
      </c>
      <c r="J57" s="1402"/>
      <c r="K57" s="1404">
        <f t="shared" si="8215"/>
        <v>0</v>
      </c>
      <c r="L57" s="1402"/>
      <c r="M57" s="1404">
        <f t="shared" si="8215"/>
        <v>0</v>
      </c>
      <c r="N57" s="1402"/>
      <c r="O57" s="1404">
        <f t="shared" si="8215"/>
        <v>0</v>
      </c>
      <c r="P57" s="1402"/>
      <c r="Q57" s="1404">
        <f t="shared" si="8215"/>
        <v>0</v>
      </c>
      <c r="R57" s="1402"/>
      <c r="S57" s="1404">
        <f t="shared" si="8215"/>
        <v>0</v>
      </c>
      <c r="T57" s="1402"/>
      <c r="U57" s="1404">
        <f t="shared" si="8215"/>
        <v>0</v>
      </c>
      <c r="V57" s="1402"/>
      <c r="W57" s="1404">
        <f t="shared" si="8215"/>
        <v>0</v>
      </c>
      <c r="X57" s="1402"/>
      <c r="Y57" s="1404">
        <f t="shared" si="8215"/>
        <v>0</v>
      </c>
      <c r="Z57" s="1402"/>
      <c r="AA57" s="1404">
        <f t="shared" si="8215"/>
        <v>0</v>
      </c>
      <c r="AB57" s="1402"/>
      <c r="AC57" s="1404">
        <f t="shared" si="8215"/>
        <v>0</v>
      </c>
      <c r="AD57" s="1402"/>
      <c r="AE57" s="1404">
        <f t="shared" si="8215"/>
        <v>0</v>
      </c>
      <c r="AF57" s="1402"/>
      <c r="AG57" s="1404">
        <f t="shared" si="8215"/>
        <v>0</v>
      </c>
      <c r="AH57" s="607"/>
      <c r="AI57" s="607"/>
    </row>
    <row r="58" spans="1:35">
      <c r="A58" s="598" t="s">
        <v>1212</v>
      </c>
      <c r="B58" s="582"/>
      <c r="C58" s="624"/>
      <c r="D58" s="582"/>
      <c r="E58" s="607">
        <f>SUM(E53:E57)</f>
        <v>0</v>
      </c>
      <c r="F58" s="607"/>
      <c r="G58" s="607">
        <f>SUM(G53:G57)</f>
        <v>0</v>
      </c>
      <c r="H58" s="607"/>
      <c r="I58" s="607">
        <f>SUM(I53:I57)</f>
        <v>0</v>
      </c>
      <c r="J58" s="607"/>
      <c r="K58" s="607">
        <f>SUM(K53:K57)</f>
        <v>0</v>
      </c>
      <c r="L58" s="607"/>
      <c r="M58" s="607">
        <f>SUM(M53:M57)</f>
        <v>0</v>
      </c>
      <c r="N58" s="607"/>
      <c r="O58" s="607">
        <f>SUM(O53:O57)</f>
        <v>0</v>
      </c>
      <c r="P58" s="607"/>
      <c r="Q58" s="607">
        <f>SUM(Q53:Q57)</f>
        <v>0</v>
      </c>
      <c r="R58" s="607"/>
      <c r="S58" s="607">
        <f>SUM(S53:S57)</f>
        <v>0</v>
      </c>
      <c r="T58" s="607"/>
      <c r="U58" s="607">
        <f>SUM(U53:U57)</f>
        <v>0</v>
      </c>
      <c r="V58" s="607"/>
      <c r="W58" s="607">
        <f>SUM(W53:W57)</f>
        <v>0</v>
      </c>
      <c r="X58" s="607"/>
      <c r="Y58" s="607">
        <f>SUM(Y53:Y57)</f>
        <v>0</v>
      </c>
      <c r="Z58" s="607"/>
      <c r="AA58" s="607">
        <f>SUM(AA53:AA57)</f>
        <v>0</v>
      </c>
      <c r="AB58" s="607"/>
      <c r="AC58" s="607">
        <f>SUM(AC53:AC57)</f>
        <v>0</v>
      </c>
      <c r="AD58" s="607"/>
      <c r="AE58" s="607">
        <f>SUM(AE53:AE57)</f>
        <v>0</v>
      </c>
      <c r="AF58" s="607"/>
      <c r="AG58" s="607">
        <f>SUM(AG53:AG57)</f>
        <v>0</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row>
    <row r="60" spans="1:35">
      <c r="A60" s="598" t="s">
        <v>1213</v>
      </c>
      <c r="B60" s="598"/>
      <c r="C60" s="625"/>
      <c r="D60" s="598"/>
      <c r="E60" s="598">
        <f>E45-E58</f>
        <v>100387.07443035953</v>
      </c>
      <c r="F60" s="598"/>
      <c r="G60" s="598">
        <f>G45-G58</f>
        <v>112509.13543035951</v>
      </c>
      <c r="H60" s="598"/>
      <c r="I60" s="598">
        <f>I45-I58</f>
        <v>124796.46295535925</v>
      </c>
      <c r="J60" s="598"/>
      <c r="K60" s="598">
        <f>K45-K58</f>
        <v>137248.28781848424</v>
      </c>
      <c r="L60" s="598"/>
      <c r="M60" s="598">
        <f>M45-M58</f>
        <v>149863.64921468752</v>
      </c>
      <c r="N60" s="598"/>
      <c r="O60" s="598">
        <f>O45-O58</f>
        <v>162641.38388661027</v>
      </c>
      <c r="P60" s="598"/>
      <c r="Q60" s="598">
        <f>Q45-Q58</f>
        <v>175580.11480793206</v>
      </c>
      <c r="R60" s="598"/>
      <c r="S60" s="598">
        <f>S45-S58</f>
        <v>188678.23936472705</v>
      </c>
      <c r="T60" s="598"/>
      <c r="U60" s="598">
        <f>U45-U58</f>
        <v>201933.91701462504</v>
      </c>
      <c r="V60" s="598"/>
      <c r="W60" s="598">
        <f>W45-W58</f>
        <v>215345.05640276545</v>
      </c>
      <c r="X60" s="598"/>
      <c r="Y60" s="598">
        <f>Y45-Y58</f>
        <v>228909.30191276467</v>
      </c>
      <c r="Z60" s="598"/>
      <c r="AA60" s="598">
        <f>AA45-AA58</f>
        <v>242624.01963005448</v>
      </c>
      <c r="AB60" s="598"/>
      <c r="AC60" s="598">
        <f>AC45-AC58</f>
        <v>256486.28269411274</v>
      </c>
      <c r="AD60" s="598"/>
      <c r="AE60" s="598">
        <f>AE45-AE58</f>
        <v>270492.85601519316</v>
      </c>
      <c r="AF60" s="598"/>
      <c r="AG60" s="598">
        <f>AG45-AG58</f>
        <v>284640.18033023237</v>
      </c>
      <c r="AH60" s="598"/>
      <c r="AI60" s="598"/>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row>
    <row r="62" spans="1:35">
      <c r="A62" s="598" t="s">
        <v>1214</v>
      </c>
      <c r="B62" s="598"/>
      <c r="C62" s="1410"/>
      <c r="D62" s="598"/>
      <c r="E62" s="627"/>
      <c r="F62" s="598"/>
      <c r="G62" s="1409">
        <f>G60*$C$62</f>
        <v>0</v>
      </c>
      <c r="H62" s="1405"/>
      <c r="I62" s="1409">
        <f>I60*$C$62</f>
        <v>0</v>
      </c>
      <c r="J62" s="1405"/>
      <c r="K62" s="1409">
        <f>K60*$C$62</f>
        <v>0</v>
      </c>
      <c r="L62" s="1405"/>
      <c r="M62" s="1409">
        <f>M60*$C$62</f>
        <v>0</v>
      </c>
      <c r="N62" s="1405"/>
      <c r="O62" s="1409">
        <f>O60*$C$62</f>
        <v>0</v>
      </c>
      <c r="P62" s="1405"/>
      <c r="Q62" s="1409">
        <f>Q60*$C$62</f>
        <v>0</v>
      </c>
      <c r="R62" s="1405"/>
      <c r="S62" s="1409">
        <f>S60*$C$62</f>
        <v>0</v>
      </c>
      <c r="T62" s="1405"/>
      <c r="U62" s="1409">
        <f>U60*$C$62</f>
        <v>0</v>
      </c>
      <c r="V62" s="1405"/>
      <c r="W62" s="1409">
        <f>W60*$C$62</f>
        <v>0</v>
      </c>
      <c r="X62" s="1405"/>
      <c r="Y62" s="1409">
        <f>Y60*$C$62</f>
        <v>0</v>
      </c>
      <c r="Z62" s="1405"/>
      <c r="AA62" s="1409">
        <f>AA60*$C$62</f>
        <v>0</v>
      </c>
      <c r="AB62" s="598"/>
      <c r="AC62" s="1409">
        <f>AC60*$C$62</f>
        <v>0</v>
      </c>
      <c r="AD62" s="598"/>
      <c r="AE62" s="1409">
        <f>AE60*$C$62</f>
        <v>0</v>
      </c>
      <c r="AF62" s="598"/>
      <c r="AG62" s="1409">
        <f>AG60*$C$62</f>
        <v>0</v>
      </c>
      <c r="AH62" s="598"/>
      <c r="AI62" s="598"/>
    </row>
    <row r="63" spans="1:35" s="2" customFormat="1">
      <c r="A63" s="1405"/>
      <c r="B63" s="1405"/>
      <c r="C63" s="1406"/>
      <c r="D63" s="1405"/>
      <c r="E63" s="1405"/>
      <c r="F63" s="1405"/>
      <c r="G63" s="1405"/>
      <c r="H63" s="1405"/>
      <c r="I63" s="1405"/>
      <c r="J63" s="1405"/>
      <c r="K63" s="1405"/>
      <c r="L63" s="1405"/>
      <c r="M63" s="1405"/>
      <c r="N63" s="1405"/>
      <c r="O63" s="1405"/>
      <c r="P63" s="1405"/>
      <c r="Q63" s="1405"/>
      <c r="R63" s="1405"/>
      <c r="S63" s="1405"/>
      <c r="T63" s="1405"/>
      <c r="U63" s="1405"/>
      <c r="V63" s="1405"/>
      <c r="W63" s="1405"/>
      <c r="X63" s="1405"/>
      <c r="Y63" s="1405"/>
      <c r="Z63" s="1405"/>
      <c r="AA63" s="1405"/>
      <c r="AB63" s="1405"/>
      <c r="AC63" s="1405"/>
      <c r="AD63" s="1405"/>
      <c r="AE63" s="1405"/>
      <c r="AF63" s="1405"/>
      <c r="AG63" s="1405"/>
      <c r="AH63" s="1405"/>
      <c r="AI63" s="1405"/>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1215</v>
      </c>
      <c r="B65" s="582"/>
      <c r="C65" s="1411"/>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627"/>
      <c r="B66" s="627"/>
      <c r="C66" s="625"/>
      <c r="D66" s="598"/>
      <c r="E66" s="627">
        <f>$E60*$C$65</f>
        <v>0</v>
      </c>
      <c r="F66" s="598"/>
      <c r="G66" s="598">
        <f>G60*$C$65</f>
        <v>0</v>
      </c>
      <c r="H66" s="598"/>
      <c r="I66" s="598">
        <f>I60*$C$65</f>
        <v>0</v>
      </c>
      <c r="J66" s="598"/>
      <c r="K66" s="598">
        <f>K60*$C$65</f>
        <v>0</v>
      </c>
      <c r="L66" s="598"/>
      <c r="M66" s="598">
        <f>M60*$C$65</f>
        <v>0</v>
      </c>
      <c r="N66" s="598"/>
      <c r="O66" s="598">
        <f>O60*$C$65</f>
        <v>0</v>
      </c>
      <c r="P66" s="598"/>
      <c r="Q66" s="598">
        <f>Q60*$C$65</f>
        <v>0</v>
      </c>
      <c r="R66" s="598"/>
      <c r="S66" s="598">
        <f>S60*$C$65</f>
        <v>0</v>
      </c>
      <c r="T66" s="598"/>
      <c r="U66" s="598">
        <f>U60*$C$65</f>
        <v>0</v>
      </c>
      <c r="V66" s="598"/>
      <c r="W66" s="598">
        <f>W60*$C$65</f>
        <v>0</v>
      </c>
      <c r="X66" s="598"/>
      <c r="Y66" s="598">
        <f>Y60*$C$65</f>
        <v>0</v>
      </c>
      <c r="Z66" s="598"/>
      <c r="AA66" s="598">
        <f>AA60*$C$65</f>
        <v>0</v>
      </c>
      <c r="AB66" s="598"/>
      <c r="AC66" s="598">
        <f>AC60*$C$65</f>
        <v>0</v>
      </c>
      <c r="AD66" s="598"/>
      <c r="AE66" s="598">
        <f>AE60*$C$65</f>
        <v>0</v>
      </c>
      <c r="AF66" s="598"/>
      <c r="AG66" s="598">
        <f>AG60*$C$65</f>
        <v>0</v>
      </c>
      <c r="AH66" s="598"/>
      <c r="AI66" s="598"/>
    </row>
    <row r="67" spans="1:35">
      <c r="A67" s="628"/>
      <c r="B67" s="628"/>
      <c r="C67" s="608"/>
      <c r="D67" s="607"/>
      <c r="E67" s="628">
        <f>$E60*$C$65</f>
        <v>0</v>
      </c>
      <c r="F67" s="607"/>
      <c r="G67" s="1412">
        <f>G60*$C$65</f>
        <v>0</v>
      </c>
      <c r="H67" s="607"/>
      <c r="I67" s="1412">
        <f>I60*$C$65</f>
        <v>0</v>
      </c>
      <c r="J67" s="607"/>
      <c r="K67" s="1412">
        <f>K60*$C$65</f>
        <v>0</v>
      </c>
      <c r="L67" s="607"/>
      <c r="M67" s="1412">
        <f>M60*$C$65</f>
        <v>0</v>
      </c>
      <c r="N67" s="607"/>
      <c r="O67" s="1412">
        <f>O60*$C$65</f>
        <v>0</v>
      </c>
      <c r="P67" s="607"/>
      <c r="Q67" s="1412">
        <f>Q60*$C$65</f>
        <v>0</v>
      </c>
      <c r="R67" s="607"/>
      <c r="S67" s="1412">
        <f>S60*$C$65</f>
        <v>0</v>
      </c>
      <c r="T67" s="607"/>
      <c r="U67" s="1412">
        <f>U60*$C$65</f>
        <v>0</v>
      </c>
      <c r="V67" s="607"/>
      <c r="W67" s="1412">
        <f>W60*$C$65</f>
        <v>0</v>
      </c>
      <c r="X67" s="607"/>
      <c r="Y67" s="1412">
        <f>Y60*$C$65</f>
        <v>0</v>
      </c>
      <c r="Z67" s="607"/>
      <c r="AA67" s="1412">
        <f>AA60*$C$65</f>
        <v>0</v>
      </c>
      <c r="AB67" s="607"/>
      <c r="AC67" s="1412">
        <f>AC60*$C$65</f>
        <v>0</v>
      </c>
      <c r="AD67" s="607"/>
      <c r="AE67" s="1412">
        <f>AE60*$C$65</f>
        <v>0</v>
      </c>
      <c r="AF67" s="607"/>
      <c r="AG67" s="1412">
        <f>AG60*$C$65</f>
        <v>0</v>
      </c>
      <c r="AH67" s="607"/>
      <c r="AI67" s="607"/>
    </row>
    <row r="68" spans="1:35" s="1379" customFormat="1">
      <c r="A68" s="627"/>
      <c r="B68" s="627"/>
      <c r="C68" s="625"/>
      <c r="D68" s="598"/>
      <c r="E68" s="627"/>
      <c r="F68" s="598"/>
      <c r="G68" s="1412">
        <f>G60*$C$65</f>
        <v>0</v>
      </c>
      <c r="H68" s="598"/>
      <c r="I68" s="1412">
        <f>I60*$C$65</f>
        <v>0</v>
      </c>
      <c r="J68" s="598"/>
      <c r="K68" s="1412">
        <f>K60*$C$65</f>
        <v>0</v>
      </c>
      <c r="L68" s="598"/>
      <c r="M68" s="1412">
        <f>M60*$C$65</f>
        <v>0</v>
      </c>
      <c r="N68" s="598"/>
      <c r="O68" s="1412">
        <f>O60*$C$65</f>
        <v>0</v>
      </c>
      <c r="P68" s="598"/>
      <c r="Q68" s="1412">
        <f>Q60*$C$65</f>
        <v>0</v>
      </c>
      <c r="R68" s="598"/>
      <c r="S68" s="1412">
        <f>S60*$C$65</f>
        <v>0</v>
      </c>
      <c r="T68" s="598"/>
      <c r="U68" s="1412">
        <f>U60*$C$65</f>
        <v>0</v>
      </c>
      <c r="V68" s="598"/>
      <c r="W68" s="1412">
        <f>W60*$C$65</f>
        <v>0</v>
      </c>
      <c r="X68" s="598"/>
      <c r="Y68" s="1412">
        <f>Y60*$C$65</f>
        <v>0</v>
      </c>
      <c r="Z68" s="598"/>
      <c r="AA68" s="1412">
        <f>AA60*$C$65</f>
        <v>0</v>
      </c>
      <c r="AB68" s="598"/>
      <c r="AC68" s="1412">
        <f>AC60*$C$65</f>
        <v>0</v>
      </c>
      <c r="AD68" s="598"/>
      <c r="AE68" s="1412">
        <f>AE60*$C$65</f>
        <v>0</v>
      </c>
      <c r="AF68" s="598"/>
      <c r="AG68" s="1412">
        <f>AG60*$C$65</f>
        <v>0</v>
      </c>
      <c r="AH68" s="598"/>
      <c r="AI68" s="598"/>
    </row>
    <row r="69" spans="1:35" s="1379" customFormat="1">
      <c r="A69" s="628"/>
      <c r="B69" s="628"/>
      <c r="C69" s="608"/>
      <c r="D69" s="607"/>
      <c r="E69" s="633"/>
      <c r="F69" s="607"/>
      <c r="G69" s="1413">
        <f>G60*$C$65</f>
        <v>0</v>
      </c>
      <c r="H69" s="607"/>
      <c r="I69" s="1413">
        <f>I60*$C$65</f>
        <v>0</v>
      </c>
      <c r="J69" s="607"/>
      <c r="K69" s="1413">
        <f>K60*$C$65</f>
        <v>0</v>
      </c>
      <c r="L69" s="607"/>
      <c r="M69" s="1413">
        <f>M60*$C$65</f>
        <v>0</v>
      </c>
      <c r="N69" s="607"/>
      <c r="O69" s="1413">
        <f>O60*$C$65</f>
        <v>0</v>
      </c>
      <c r="P69" s="607"/>
      <c r="Q69" s="1413">
        <f>Q60*$C$65</f>
        <v>0</v>
      </c>
      <c r="R69" s="607"/>
      <c r="S69" s="1413">
        <f>S60*$C$65</f>
        <v>0</v>
      </c>
      <c r="T69" s="607"/>
      <c r="U69" s="1413">
        <f>U60*$C$65</f>
        <v>0</v>
      </c>
      <c r="V69" s="607"/>
      <c r="W69" s="1413">
        <f>W60*$C$65</f>
        <v>0</v>
      </c>
      <c r="X69" s="607"/>
      <c r="Y69" s="1413">
        <f>Y60*$C$65</f>
        <v>0</v>
      </c>
      <c r="Z69" s="607"/>
      <c r="AA69" s="1413">
        <f>AA60*$C$65</f>
        <v>0</v>
      </c>
      <c r="AB69" s="607"/>
      <c r="AC69" s="1413">
        <f>AC60*$C$65</f>
        <v>0</v>
      </c>
      <c r="AD69" s="607"/>
      <c r="AE69" s="1413">
        <f>AE60*$C$65</f>
        <v>0</v>
      </c>
      <c r="AF69" s="607"/>
      <c r="AG69" s="1413">
        <f>AG60*$C$65</f>
        <v>0</v>
      </c>
      <c r="AH69" s="607"/>
      <c r="AI69" s="607"/>
    </row>
    <row r="70" spans="1:35" s="2" customFormat="1">
      <c r="A70" s="1414" t="s">
        <v>1212</v>
      </c>
      <c r="B70" s="1407"/>
      <c r="C70" s="1408"/>
      <c r="D70" s="1407"/>
      <c r="E70" s="1405">
        <f>SUM(E66:E69)</f>
        <v>0</v>
      </c>
      <c r="F70" s="1405"/>
      <c r="G70" s="1405">
        <f>SUM(G66:G69)</f>
        <v>0</v>
      </c>
      <c r="H70" s="1405"/>
      <c r="I70" s="1405">
        <f>SUM(I66:I69)</f>
        <v>0</v>
      </c>
      <c r="J70" s="1405"/>
      <c r="K70" s="1405">
        <f>SUM(K66:K69)</f>
        <v>0</v>
      </c>
      <c r="L70" s="1405"/>
      <c r="M70" s="1405">
        <f>SUM(M66:M69)</f>
        <v>0</v>
      </c>
      <c r="N70" s="1405"/>
      <c r="O70" s="1405">
        <f>SUM(O66:O69)</f>
        <v>0</v>
      </c>
      <c r="P70" s="1405"/>
      <c r="Q70" s="1405">
        <f>SUM(Q66:Q69)</f>
        <v>0</v>
      </c>
      <c r="R70" s="1405"/>
      <c r="S70" s="1405">
        <f>SUM(S66:S69)</f>
        <v>0</v>
      </c>
      <c r="T70" s="1405"/>
      <c r="U70" s="1405">
        <f>SUM(U66:U69)</f>
        <v>0</v>
      </c>
      <c r="V70" s="1405"/>
      <c r="W70" s="1405">
        <f>SUM(W66:W69)</f>
        <v>0</v>
      </c>
      <c r="X70" s="1405"/>
      <c r="Y70" s="1405">
        <f>SUM(Y66:Y69)</f>
        <v>0</v>
      </c>
      <c r="Z70" s="1405"/>
      <c r="AA70" s="1405">
        <f>SUM(AA66:AA69)</f>
        <v>0</v>
      </c>
      <c r="AB70" s="1405"/>
      <c r="AC70" s="1405">
        <f>SUM(AC66:AC69)</f>
        <v>0</v>
      </c>
      <c r="AD70" s="1405"/>
      <c r="AE70" s="1405">
        <f>SUM(AE66:AE69)</f>
        <v>0</v>
      </c>
      <c r="AF70" s="1405"/>
      <c r="AG70" s="1405">
        <f>SUM(AG66:AG69)</f>
        <v>0</v>
      </c>
      <c r="AH70" s="1407"/>
      <c r="AI70" s="1407"/>
    </row>
    <row r="71" spans="1:35" s="2" customFormat="1">
      <c r="A71" s="1407"/>
      <c r="B71" s="1407"/>
      <c r="C71" s="1408"/>
      <c r="D71" s="1407"/>
      <c r="E71" s="1407"/>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row>
    <row r="72" spans="1:35">
      <c r="A72" s="1414" t="s">
        <v>2228</v>
      </c>
      <c r="B72" s="607"/>
      <c r="C72" s="608"/>
      <c r="D72" s="607"/>
      <c r="E72" s="598">
        <f>E60-E62-E70</f>
        <v>100387.07443035953</v>
      </c>
      <c r="F72" s="607"/>
      <c r="G72" s="598">
        <f>G60-G62-G70</f>
        <v>112509.13543035951</v>
      </c>
      <c r="H72" s="607"/>
      <c r="I72" s="598">
        <f>I60-I62-I70</f>
        <v>124796.46295535925</v>
      </c>
      <c r="J72" s="607"/>
      <c r="K72" s="598">
        <f>K60-K62-K70</f>
        <v>137248.28781848424</v>
      </c>
      <c r="L72" s="607"/>
      <c r="M72" s="598">
        <f>M60-M62-M70</f>
        <v>149863.64921468752</v>
      </c>
      <c r="N72" s="607"/>
      <c r="O72" s="598">
        <f>O60-O62-O70</f>
        <v>162641.38388661027</v>
      </c>
      <c r="P72" s="607"/>
      <c r="Q72" s="598">
        <f>Q60-Q62-Q70</f>
        <v>175580.11480793206</v>
      </c>
      <c r="R72" s="607"/>
      <c r="S72" s="598">
        <f>S60-S62-S70</f>
        <v>188678.23936472705</v>
      </c>
      <c r="T72" s="607"/>
      <c r="U72" s="598">
        <f>U60-U62-U70</f>
        <v>201933.91701462504</v>
      </c>
      <c r="V72" s="607"/>
      <c r="W72" s="598">
        <f>W60-W62-W70</f>
        <v>215345.05640276545</v>
      </c>
      <c r="X72" s="607"/>
      <c r="Y72" s="598">
        <f>Y60-Y62-Y70</f>
        <v>228909.30191276467</v>
      </c>
      <c r="Z72" s="607"/>
      <c r="AA72" s="598">
        <f>AA60-AA62-AA70</f>
        <v>242624.01963005448</v>
      </c>
      <c r="AB72" s="607"/>
      <c r="AC72" s="598">
        <f>AC60-AC62-AC70</f>
        <v>256486.28269411274</v>
      </c>
      <c r="AD72" s="607"/>
      <c r="AE72" s="598">
        <f>AE60-AE62-AE70</f>
        <v>270492.85601519316</v>
      </c>
      <c r="AF72" s="607"/>
      <c r="AG72" s="598">
        <f>AG60-AG62-AG70</f>
        <v>284640.18033023237</v>
      </c>
      <c r="AH72" s="607"/>
      <c r="AI72" s="607"/>
    </row>
    <row r="73" spans="1:35" s="1379"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s="1379"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t="s">
        <v>1516</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ht="30" customHeight="1">
      <c r="A77" s="2635" t="s">
        <v>1216</v>
      </c>
      <c r="B77" s="2635"/>
      <c r="C77" s="2635"/>
      <c r="D77" s="2635"/>
      <c r="E77" s="2635"/>
      <c r="F77" s="2635"/>
      <c r="G77" s="2635"/>
      <c r="H77" s="2635"/>
      <c r="I77" s="2635"/>
      <c r="J77" s="2635"/>
      <c r="K77" s="2635"/>
      <c r="L77" s="2635"/>
      <c r="M77" s="2635"/>
      <c r="N77" s="2635"/>
      <c r="O77" s="2635"/>
      <c r="P77" s="2635"/>
      <c r="Q77" s="2635"/>
      <c r="R77" s="2635"/>
      <c r="S77" s="2635"/>
      <c r="T77" s="2635"/>
      <c r="U77" s="2635"/>
      <c r="V77" s="2635"/>
      <c r="W77" s="2635"/>
      <c r="X77" s="2635"/>
      <c r="Y77" s="2635"/>
      <c r="Z77" s="2635"/>
      <c r="AA77" s="2635"/>
      <c r="AB77" s="2635"/>
      <c r="AC77" s="2635"/>
      <c r="AD77" s="2635"/>
      <c r="AE77" s="2635"/>
      <c r="AF77" s="2635"/>
      <c r="AG77" s="2635"/>
      <c r="AH77" s="629"/>
      <c r="AI77" s="629"/>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85" zoomScaleNormal="100" zoomScaleSheetLayoutView="85" workbookViewId="0">
      <selection activeCell="I25" sqref="I25"/>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36" t="s">
        <v>1297</v>
      </c>
      <c r="B1" s="2636"/>
      <c r="C1" s="2636"/>
      <c r="D1" s="2636"/>
      <c r="E1" s="2636"/>
      <c r="F1" s="2636"/>
      <c r="G1" s="2636"/>
      <c r="H1" s="2636"/>
      <c r="I1" s="2636"/>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13</v>
      </c>
      <c r="C4" s="1504">
        <f>Application!$O704</f>
        <v>565.6</v>
      </c>
      <c r="D4" s="940"/>
      <c r="E4" s="740">
        <f>1534-Application!$Q$808</f>
        <v>1466</v>
      </c>
      <c r="F4" s="941">
        <f>$E4*$B4</f>
        <v>19058</v>
      </c>
      <c r="G4" s="942"/>
      <c r="H4" s="1504">
        <f>IF($E4=0,0,MAX($E4-$C4,0))</f>
        <v>900.4</v>
      </c>
      <c r="I4" s="1506">
        <f>IF($H4=0,0,($H4*$B4))</f>
        <v>11705.199999999999</v>
      </c>
    </row>
    <row r="5" spans="1:9">
      <c r="A5" s="939" t="str">
        <f>Application!$B705</f>
        <v>1 Bedroom</v>
      </c>
      <c r="B5" s="947">
        <f>Application!$G705</f>
        <v>12</v>
      </c>
      <c r="C5" s="1504">
        <f>Application!$O705</f>
        <v>565.6</v>
      </c>
      <c r="D5" s="940"/>
      <c r="E5" s="740">
        <f>1534-Application!$Q$808</f>
        <v>1466</v>
      </c>
      <c r="F5" s="941">
        <f t="shared" ref="F5:F28" si="0">$E5*$B5</f>
        <v>17592</v>
      </c>
      <c r="G5" s="942"/>
      <c r="H5" s="1504">
        <f t="shared" ref="H5:H28" si="1">IF($E5=0,0,MAX($E5-$C5,0))</f>
        <v>900.4</v>
      </c>
      <c r="I5" s="1506">
        <f t="shared" ref="I5:I28" si="2">IF($H5=0,0,($H5*$B5))</f>
        <v>10804.8</v>
      </c>
    </row>
    <row r="6" spans="1:9">
      <c r="A6" s="939" t="str">
        <f>Application!$B706</f>
        <v>1 Bedroom</v>
      </c>
      <c r="B6" s="947">
        <f>Application!$G706</f>
        <v>2</v>
      </c>
      <c r="C6" s="1504">
        <f>Application!$O706</f>
        <v>1199.2</v>
      </c>
      <c r="D6" s="940"/>
      <c r="E6" s="740"/>
      <c r="F6" s="941">
        <f t="shared" si="0"/>
        <v>0</v>
      </c>
      <c r="G6" s="942"/>
      <c r="H6" s="1504">
        <f t="shared" si="1"/>
        <v>0</v>
      </c>
      <c r="I6" s="1506">
        <f t="shared" si="2"/>
        <v>0</v>
      </c>
    </row>
    <row r="7" spans="1:9">
      <c r="A7" s="939" t="str">
        <f>Application!$B707</f>
        <v>2 Bedrooms</v>
      </c>
      <c r="B7" s="947">
        <f>Application!$G707</f>
        <v>3</v>
      </c>
      <c r="C7" s="1504">
        <f>Application!$O707</f>
        <v>674.2</v>
      </c>
      <c r="D7" s="940"/>
      <c r="E7" s="740">
        <f>1867-Application!U808</f>
        <v>1781</v>
      </c>
      <c r="F7" s="941">
        <f t="shared" si="0"/>
        <v>5343</v>
      </c>
      <c r="G7" s="942"/>
      <c r="H7" s="1504">
        <f t="shared" si="1"/>
        <v>1106.8</v>
      </c>
      <c r="I7" s="1506">
        <f t="shared" si="2"/>
        <v>3320.3999999999996</v>
      </c>
    </row>
    <row r="8" spans="1:9">
      <c r="A8" s="939" t="str">
        <f>Application!$B708</f>
        <v>2 Bedrooms</v>
      </c>
      <c r="B8" s="947">
        <f>Application!$G708</f>
        <v>13</v>
      </c>
      <c r="C8" s="1504">
        <f>Application!$O708</f>
        <v>1434.4</v>
      </c>
      <c r="D8" s="940"/>
      <c r="E8" s="740"/>
      <c r="F8" s="941">
        <f t="shared" si="0"/>
        <v>0</v>
      </c>
      <c r="G8" s="942"/>
      <c r="H8" s="1504">
        <f t="shared" si="1"/>
        <v>0</v>
      </c>
      <c r="I8" s="1506">
        <f t="shared" si="2"/>
        <v>0</v>
      </c>
    </row>
    <row r="9" spans="1:9">
      <c r="A9" s="939" t="str">
        <f>Application!$B709</f>
        <v>3 Bedrooms</v>
      </c>
      <c r="B9" s="947">
        <f>Application!$G709</f>
        <v>3</v>
      </c>
      <c r="C9" s="1504">
        <f>Application!$O709</f>
        <v>774.4</v>
      </c>
      <c r="D9" s="940"/>
      <c r="E9" s="740">
        <f>2478-Application!Y808</f>
        <v>2374</v>
      </c>
      <c r="F9" s="941">
        <f t="shared" si="0"/>
        <v>7122</v>
      </c>
      <c r="G9" s="942"/>
      <c r="H9" s="1504">
        <f t="shared" si="1"/>
        <v>1599.6</v>
      </c>
      <c r="I9" s="1506">
        <f t="shared" si="2"/>
        <v>4798.7999999999993</v>
      </c>
    </row>
    <row r="10" spans="1:9">
      <c r="A10" s="939" t="str">
        <f>Application!$B710</f>
        <v>3 Bedrooms</v>
      </c>
      <c r="B10" s="947">
        <f>Application!$G710</f>
        <v>16</v>
      </c>
      <c r="C10" s="1504">
        <f>Application!$O710</f>
        <v>1652.8</v>
      </c>
      <c r="D10" s="940"/>
      <c r="E10" s="1505"/>
      <c r="F10" s="941">
        <f t="shared" si="0"/>
        <v>0</v>
      </c>
      <c r="G10" s="942"/>
      <c r="H10" s="1504">
        <f t="shared" si="1"/>
        <v>0</v>
      </c>
      <c r="I10" s="1506">
        <f t="shared" si="2"/>
        <v>0</v>
      </c>
    </row>
    <row r="11" spans="1:9">
      <c r="A11" s="939">
        <f>Application!$B711</f>
        <v>0</v>
      </c>
      <c r="B11" s="947">
        <f>Application!$G711</f>
        <v>0</v>
      </c>
      <c r="C11" s="1504">
        <f>Application!$O711</f>
        <v>0</v>
      </c>
      <c r="D11" s="940"/>
      <c r="E11" s="1505"/>
      <c r="F11" s="941">
        <f t="shared" si="0"/>
        <v>0</v>
      </c>
      <c r="G11" s="942"/>
      <c r="H11" s="1504">
        <f t="shared" si="1"/>
        <v>0</v>
      </c>
      <c r="I11" s="1506">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1296</v>
      </c>
      <c r="B30" s="944"/>
      <c r="C30" s="945">
        <f>Application!$P$729*12</f>
        <v>0</v>
      </c>
      <c r="D30" s="940"/>
      <c r="E30" s="940"/>
      <c r="F30" s="945">
        <f>SUM(F4:F28)*12</f>
        <v>589380</v>
      </c>
      <c r="G30" s="946"/>
      <c r="H30" s="944"/>
      <c r="I30" s="945">
        <f>SUM(I4:I28)*12</f>
        <v>367550.4</v>
      </c>
    </row>
    <row r="31" spans="1:9">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1361</v>
      </c>
    </row>
    <row r="2" spans="1:1" ht="15.6">
      <c r="A2" s="771"/>
    </row>
    <row r="3" spans="1:1" ht="15.6">
      <c r="A3" s="772" t="s">
        <v>1356</v>
      </c>
    </row>
    <row r="4" spans="1:1" ht="15.6">
      <c r="A4" s="772" t="s">
        <v>1357</v>
      </c>
    </row>
    <row r="5" spans="1:1" ht="15.6">
      <c r="A5" s="772" t="s">
        <v>1358</v>
      </c>
    </row>
    <row r="6" spans="1:1" ht="15.6">
      <c r="A6" s="772" t="s">
        <v>1359</v>
      </c>
    </row>
    <row r="7" spans="1:1" ht="15.6">
      <c r="A7" s="772" t="s">
        <v>1360</v>
      </c>
    </row>
    <row r="8" spans="1:1" ht="15.6">
      <c r="A8" s="897" t="s">
        <v>1487</v>
      </c>
    </row>
    <row r="9" spans="1:1" ht="15.6">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4" customWidth="1"/>
    <col min="2" max="2" width="0.88671875" style="1264" customWidth="1"/>
    <col min="3" max="18" width="2.44140625" style="1264" customWidth="1"/>
    <col min="19" max="19" width="4" style="1264" customWidth="1"/>
    <col min="20" max="39" width="2.44140625" style="1264" customWidth="1"/>
    <col min="40" max="40" width="1.44140625" style="1264" customWidth="1"/>
    <col min="41" max="16384" width="2.44140625" style="2" hidden="1"/>
  </cols>
  <sheetData>
    <row r="1" spans="1:40" ht="12.75" customHeight="1">
      <c r="A1" s="2250" t="s">
        <v>1217</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4"/>
      <c r="AA6" s="2"/>
    </row>
    <row r="7" spans="1:40" ht="13.65" customHeight="1">
      <c r="B7" s="9"/>
      <c r="C7" s="10"/>
      <c r="D7" s="10"/>
      <c r="E7" s="10"/>
      <c r="F7" s="10"/>
      <c r="G7" s="10"/>
      <c r="H7" s="10"/>
      <c r="I7" s="10"/>
      <c r="J7" s="10"/>
      <c r="K7" s="10"/>
      <c r="L7" s="10"/>
      <c r="M7" s="10"/>
      <c r="N7" s="10"/>
      <c r="O7" s="10"/>
      <c r="P7" s="10"/>
      <c r="Q7" s="10"/>
      <c r="R7" s="10"/>
      <c r="S7" s="10"/>
      <c r="T7" s="2233" t="s">
        <v>1815</v>
      </c>
      <c r="U7" s="2233"/>
      <c r="V7" s="2233"/>
      <c r="W7" s="2233"/>
      <c r="X7" s="2233"/>
      <c r="Y7" s="2233" t="s">
        <v>1978</v>
      </c>
      <c r="Z7" s="2233"/>
      <c r="AA7" s="2233"/>
      <c r="AB7" s="2233"/>
      <c r="AC7" s="2233"/>
      <c r="AD7" s="2233" t="s">
        <v>1514</v>
      </c>
      <c r="AE7" s="2233"/>
      <c r="AF7" s="2233"/>
      <c r="AG7" s="2233"/>
      <c r="AH7" s="2233"/>
      <c r="AI7" s="2233" t="s">
        <v>1979</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3.2">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2">
      <c r="B11" s="2207" t="s">
        <v>566</v>
      </c>
      <c r="C11" s="2208"/>
      <c r="D11" s="2208"/>
      <c r="E11" s="2208"/>
      <c r="F11" s="2208"/>
      <c r="G11" s="2208"/>
      <c r="H11" s="2208"/>
      <c r="I11" s="2208"/>
      <c r="J11" s="2208"/>
      <c r="K11" s="2208"/>
      <c r="L11" s="2208"/>
      <c r="M11" s="2208"/>
      <c r="N11" s="2208"/>
      <c r="O11" s="2208"/>
      <c r="P11" s="2208"/>
      <c r="Q11" s="2208"/>
      <c r="R11" s="2208"/>
      <c r="S11" s="2209"/>
      <c r="T11" s="2244">
        <f>IF('Sources and Basis Breakdown'!F104=0,'Sources and Basis Breakdown'!E104,'Sources and Basis Breakdown'!F104)</f>
        <v>33397830</v>
      </c>
      <c r="U11" s="2234"/>
      <c r="V11" s="2234"/>
      <c r="W11" s="2234"/>
      <c r="X11" s="2234"/>
      <c r="Y11" s="2253">
        <f>IF('Sources and Basis Breakdown'!G104+'Sources and Basis Breakdown'!F104='Sources and Basis Breakdown'!E104,'Sources and Basis Breakdown'!G104,0)</f>
        <v>0</v>
      </c>
      <c r="Z11" s="2234"/>
      <c r="AA11" s="2234"/>
      <c r="AB11" s="2234"/>
      <c r="AC11" s="2234"/>
      <c r="AD11" s="2234">
        <f>IF('Sources and Basis Breakdown'!I104=0,'Sources and Basis Breakdown'!H104,'Sources and Basis Breakdown'!I104)</f>
        <v>0</v>
      </c>
      <c r="AE11" s="2234"/>
      <c r="AF11" s="2234"/>
      <c r="AG11" s="2234"/>
      <c r="AH11" s="2234"/>
      <c r="AI11" s="2234">
        <f>IF('Sources and Basis Breakdown'!I104+'Sources and Basis Breakdown'!J104='Sources and Basis Breakdown'!H104,'Sources and Basis Breakdown'!J104,0)</f>
        <v>0</v>
      </c>
      <c r="AJ11" s="2234"/>
      <c r="AK11" s="2234"/>
      <c r="AL11" s="2234"/>
      <c r="AM11" s="2234"/>
    </row>
    <row r="12" spans="1:40" ht="13.2">
      <c r="B12" s="2237" t="s">
        <v>496</v>
      </c>
      <c r="C12" s="2238"/>
      <c r="D12" s="2238"/>
      <c r="E12" s="2238"/>
      <c r="F12" s="2238"/>
      <c r="G12" s="2238"/>
      <c r="H12" s="2238"/>
      <c r="I12" s="2238"/>
      <c r="J12" s="2238"/>
      <c r="K12" s="2238"/>
      <c r="L12" s="2238"/>
      <c r="M12" s="2238"/>
      <c r="N12" s="2238"/>
      <c r="O12" s="2238"/>
      <c r="P12" s="2238"/>
      <c r="Q12" s="2238"/>
      <c r="R12" s="2238"/>
      <c r="S12" s="2239"/>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3.2">
      <c r="B13" s="11"/>
      <c r="C13" s="2240" t="s">
        <v>1933</v>
      </c>
      <c r="D13" s="2241"/>
      <c r="E13" s="2241"/>
      <c r="F13" s="2241"/>
      <c r="G13" s="2241"/>
      <c r="H13" s="2241"/>
      <c r="I13" s="2241"/>
      <c r="J13" s="2241"/>
      <c r="K13" s="2241"/>
      <c r="L13" s="2241"/>
      <c r="M13" s="2241"/>
      <c r="N13" s="2241"/>
      <c r="O13" s="2241"/>
      <c r="P13" s="2241"/>
      <c r="Q13" s="2241"/>
      <c r="R13" s="2241"/>
      <c r="S13" s="2242"/>
      <c r="T13" s="2245">
        <f>'Basis &amp; Credits'!T13</f>
        <v>0</v>
      </c>
      <c r="U13" s="2246"/>
      <c r="V13" s="2246"/>
      <c r="W13" s="2246"/>
      <c r="X13" s="2246"/>
      <c r="Y13" s="2245">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3.2">
      <c r="B14" s="11"/>
      <c r="C14" s="2241" t="s">
        <v>841</v>
      </c>
      <c r="D14" s="2241"/>
      <c r="E14" s="2241"/>
      <c r="F14" s="2241"/>
      <c r="G14" s="2241"/>
      <c r="H14" s="2241"/>
      <c r="I14" s="2241"/>
      <c r="J14" s="2241"/>
      <c r="K14" s="2241"/>
      <c r="L14" s="2241"/>
      <c r="M14" s="2241"/>
      <c r="N14" s="2241"/>
      <c r="O14" s="2241"/>
      <c r="P14" s="2241"/>
      <c r="Q14" s="2241"/>
      <c r="R14" s="2241"/>
      <c r="S14" s="2242"/>
      <c r="T14" s="1656">
        <f>'Basis &amp; Credits'!T14</f>
        <v>0</v>
      </c>
      <c r="U14" s="1650"/>
      <c r="V14" s="1650"/>
      <c r="W14" s="1650"/>
      <c r="X14" s="1650"/>
      <c r="Y14" s="1656">
        <f>'Basis &amp; Credits'!Y14</f>
        <v>0</v>
      </c>
      <c r="Z14" s="1650"/>
      <c r="AA14" s="1650"/>
      <c r="AB14" s="1650"/>
      <c r="AC14" s="1650"/>
      <c r="AD14" s="1650">
        <f>'Basis &amp; Credits'!AD14</f>
        <v>0</v>
      </c>
      <c r="AE14" s="1650"/>
      <c r="AF14" s="1650"/>
      <c r="AG14" s="1650"/>
      <c r="AH14" s="1650"/>
      <c r="AI14" s="1650">
        <f>'Basis &amp; Credits'!AI14</f>
        <v>0</v>
      </c>
      <c r="AJ14" s="1650"/>
      <c r="AK14" s="1650"/>
      <c r="AL14" s="1650"/>
      <c r="AM14" s="1650"/>
    </row>
    <row r="15" spans="1:40" ht="13.2">
      <c r="B15" s="11"/>
      <c r="C15" s="2241" t="s">
        <v>842</v>
      </c>
      <c r="D15" s="2241"/>
      <c r="E15" s="2241"/>
      <c r="F15" s="2241"/>
      <c r="G15" s="2241"/>
      <c r="H15" s="2241"/>
      <c r="I15" s="2241"/>
      <c r="J15" s="2241"/>
      <c r="K15" s="2241"/>
      <c r="L15" s="2241"/>
      <c r="M15" s="2241"/>
      <c r="N15" s="2241"/>
      <c r="O15" s="2241"/>
      <c r="P15" s="2241"/>
      <c r="Q15" s="2241"/>
      <c r="R15" s="2241"/>
      <c r="S15" s="2242"/>
      <c r="T15" s="1656">
        <f>'Basis &amp; Credits'!T15</f>
        <v>0</v>
      </c>
      <c r="U15" s="1650"/>
      <c r="V15" s="1650"/>
      <c r="W15" s="1650"/>
      <c r="X15" s="1650"/>
      <c r="Y15" s="1656">
        <f>'Basis &amp; Credits'!Y15</f>
        <v>0</v>
      </c>
      <c r="Z15" s="1650"/>
      <c r="AA15" s="1650"/>
      <c r="AB15" s="1650"/>
      <c r="AC15" s="1650"/>
      <c r="AD15" s="1650">
        <f>'Basis &amp; Credits'!AD15</f>
        <v>0</v>
      </c>
      <c r="AE15" s="1650"/>
      <c r="AF15" s="1650"/>
      <c r="AG15" s="1650"/>
      <c r="AH15" s="1650"/>
      <c r="AI15" s="1650">
        <f>'Basis &amp; Credits'!AI15</f>
        <v>0</v>
      </c>
      <c r="AJ15" s="1650"/>
      <c r="AK15" s="1650"/>
      <c r="AL15" s="1650"/>
      <c r="AM15" s="1650"/>
    </row>
    <row r="16" spans="1:40" ht="13.2">
      <c r="B16" s="11"/>
      <c r="C16" s="2240" t="s">
        <v>1117</v>
      </c>
      <c r="D16" s="2240"/>
      <c r="E16" s="2240"/>
      <c r="F16" s="2240"/>
      <c r="G16" s="2240"/>
      <c r="H16" s="2240"/>
      <c r="I16" s="2240"/>
      <c r="J16" s="2240"/>
      <c r="K16" s="2240"/>
      <c r="L16" s="2240"/>
      <c r="M16" s="2240"/>
      <c r="N16" s="2240"/>
      <c r="O16" s="2240"/>
      <c r="P16" s="2240"/>
      <c r="Q16" s="2240"/>
      <c r="R16" s="2240"/>
      <c r="S16" s="2243"/>
      <c r="T16" s="1656">
        <f>'Basis &amp; Credits'!T16</f>
        <v>0</v>
      </c>
      <c r="U16" s="1650"/>
      <c r="V16" s="1650"/>
      <c r="W16" s="1650"/>
      <c r="X16" s="1650"/>
      <c r="Y16" s="1656">
        <f>'Basis &amp; Credits'!Y16</f>
        <v>0</v>
      </c>
      <c r="Z16" s="1650"/>
      <c r="AA16" s="1650"/>
      <c r="AB16" s="1650"/>
      <c r="AC16" s="1650"/>
      <c r="AD16" s="1650">
        <f>'Basis &amp; Credits'!AD16</f>
        <v>0</v>
      </c>
      <c r="AE16" s="1650"/>
      <c r="AF16" s="1650"/>
      <c r="AG16" s="1650"/>
      <c r="AH16" s="1650"/>
      <c r="AI16" s="1650">
        <f>'Basis &amp; Credits'!AI16</f>
        <v>0</v>
      </c>
      <c r="AJ16" s="1650"/>
      <c r="AK16" s="1650"/>
      <c r="AL16" s="1650"/>
      <c r="AM16" s="1650"/>
    </row>
    <row r="17" spans="1:39" ht="13.2">
      <c r="B17" s="11"/>
      <c r="C17" s="2241" t="s">
        <v>843</v>
      </c>
      <c r="D17" s="2241"/>
      <c r="E17" s="2241"/>
      <c r="F17" s="2241"/>
      <c r="G17" s="2241"/>
      <c r="H17" s="2241"/>
      <c r="I17" s="2241"/>
      <c r="J17" s="2241"/>
      <c r="K17" s="2241"/>
      <c r="L17" s="2241"/>
      <c r="M17" s="2241"/>
      <c r="N17" s="2241"/>
      <c r="O17" s="2241"/>
      <c r="P17" s="2241"/>
      <c r="Q17" s="2241"/>
      <c r="R17" s="2241"/>
      <c r="S17" s="2242"/>
      <c r="T17" s="1656">
        <f>'Basis &amp; Credits'!T17</f>
        <v>0</v>
      </c>
      <c r="U17" s="1650"/>
      <c r="V17" s="1650"/>
      <c r="W17" s="1650"/>
      <c r="X17" s="1650"/>
      <c r="Y17" s="1656">
        <f>'Basis &amp; Credits'!Y17</f>
        <v>0</v>
      </c>
      <c r="Z17" s="1650"/>
      <c r="AA17" s="1650"/>
      <c r="AB17" s="1650"/>
      <c r="AC17" s="1650"/>
      <c r="AD17" s="1650">
        <f>'Basis &amp; Credits'!AD17</f>
        <v>0</v>
      </c>
      <c r="AE17" s="1650"/>
      <c r="AF17" s="1650"/>
      <c r="AG17" s="1650"/>
      <c r="AH17" s="1650"/>
      <c r="AI17" s="1650">
        <f>'Basis &amp; Credits'!AI17</f>
        <v>0</v>
      </c>
      <c r="AJ17" s="1650"/>
      <c r="AK17" s="1650"/>
      <c r="AL17" s="1650"/>
      <c r="AM17" s="1650"/>
    </row>
    <row r="18" spans="1:39" ht="13.2">
      <c r="B18" s="929"/>
      <c r="C18" s="2240" t="s">
        <v>1519</v>
      </c>
      <c r="D18" s="2241"/>
      <c r="E18" s="2241"/>
      <c r="F18" s="2241"/>
      <c r="G18" s="2241"/>
      <c r="H18" s="2241"/>
      <c r="I18" s="2241"/>
      <c r="J18" s="2241"/>
      <c r="K18" s="2241"/>
      <c r="L18" s="2241"/>
      <c r="M18" s="2241"/>
      <c r="N18" s="2241"/>
      <c r="O18" s="2241"/>
      <c r="P18" s="2241"/>
      <c r="Q18" s="2241"/>
      <c r="R18" s="2241"/>
      <c r="S18" s="2242"/>
      <c r="T18" s="1654">
        <f>'Basis &amp; Credits'!T18</f>
        <v>0</v>
      </c>
      <c r="U18" s="1655"/>
      <c r="V18" s="1655"/>
      <c r="W18" s="1655"/>
      <c r="X18" s="1656"/>
      <c r="Y18" s="1656">
        <f>'Basis &amp; Credits'!Y18</f>
        <v>0</v>
      </c>
      <c r="Z18" s="1650"/>
      <c r="AA18" s="1650"/>
      <c r="AB18" s="1650"/>
      <c r="AC18" s="1650"/>
      <c r="AD18" s="1650">
        <f>'Basis &amp; Credits'!AD18</f>
        <v>0</v>
      </c>
      <c r="AE18" s="1650"/>
      <c r="AF18" s="1650"/>
      <c r="AG18" s="1650"/>
      <c r="AH18" s="1650"/>
      <c r="AI18" s="1650">
        <f>'Basis &amp; Credits'!AI18</f>
        <v>0</v>
      </c>
      <c r="AJ18" s="1650"/>
      <c r="AK18" s="1650"/>
      <c r="AL18" s="1650"/>
      <c r="AM18" s="1650"/>
    </row>
    <row r="19" spans="1:39" ht="13.2">
      <c r="B19" s="768"/>
      <c r="C19" s="1718" t="str">
        <f>'Basis &amp; Credits'!C19:S19</f>
        <v>Subtract (specify other ineligible amounts):</v>
      </c>
      <c r="D19" s="1718"/>
      <c r="E19" s="1718"/>
      <c r="F19" s="1718"/>
      <c r="G19" s="1718"/>
      <c r="H19" s="1718"/>
      <c r="I19" s="1718"/>
      <c r="J19" s="1718"/>
      <c r="K19" s="1718"/>
      <c r="L19" s="1718"/>
      <c r="M19" s="1718"/>
      <c r="N19" s="1718"/>
      <c r="O19" s="1718"/>
      <c r="P19" s="1718"/>
      <c r="Q19" s="1718"/>
      <c r="R19" s="1718"/>
      <c r="S19" s="1719"/>
      <c r="T19" s="1656">
        <f>'Basis &amp; Credits'!T19</f>
        <v>0</v>
      </c>
      <c r="U19" s="1650"/>
      <c r="V19" s="1650"/>
      <c r="W19" s="1650"/>
      <c r="X19" s="1650"/>
      <c r="Y19" s="1656">
        <f>'Basis &amp; Credits'!Y19</f>
        <v>0</v>
      </c>
      <c r="Z19" s="1650"/>
      <c r="AA19" s="1650"/>
      <c r="AB19" s="1650"/>
      <c r="AC19" s="1650"/>
      <c r="AD19" s="1650">
        <f>'Basis &amp; Credits'!AD19</f>
        <v>0</v>
      </c>
      <c r="AE19" s="1650"/>
      <c r="AF19" s="1650"/>
      <c r="AG19" s="1650"/>
      <c r="AH19" s="1650"/>
      <c r="AI19" s="1650">
        <f>'Basis &amp; Credits'!AI19</f>
        <v>0</v>
      </c>
      <c r="AJ19" s="1650"/>
      <c r="AK19" s="1650"/>
      <c r="AL19" s="1650"/>
      <c r="AM19" s="1650"/>
    </row>
    <row r="20" spans="1:39" ht="13.2">
      <c r="B20" s="2207" t="s">
        <v>844</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3.2">
      <c r="B21" s="2207" t="s">
        <v>1932</v>
      </c>
      <c r="C21" s="2208"/>
      <c r="D21" s="2208"/>
      <c r="E21" s="2208"/>
      <c r="F21" s="2208"/>
      <c r="G21" s="2208"/>
      <c r="H21" s="2208"/>
      <c r="I21" s="2208"/>
      <c r="J21" s="2208"/>
      <c r="K21" s="2208"/>
      <c r="L21" s="2208"/>
      <c r="M21" s="2208"/>
      <c r="N21" s="2208"/>
      <c r="O21" s="2208"/>
      <c r="P21" s="2208"/>
      <c r="Q21" s="2208"/>
      <c r="R21" s="2208"/>
      <c r="S21" s="2209"/>
      <c r="T21" s="1656">
        <f>'Basis &amp; Credits'!E21</f>
        <v>0</v>
      </c>
      <c r="U21" s="1650"/>
      <c r="V21" s="1650"/>
      <c r="W21" s="1650"/>
      <c r="X21" s="1650"/>
      <c r="Y21" s="1656">
        <f>'Basis &amp; Credits'!J21</f>
        <v>0</v>
      </c>
      <c r="Z21" s="1650"/>
      <c r="AA21" s="1650"/>
      <c r="AB21" s="1650"/>
      <c r="AC21" s="1650"/>
      <c r="AD21" s="1650">
        <f>'Basis &amp; Credits'!O21</f>
        <v>0</v>
      </c>
      <c r="AE21" s="1650"/>
      <c r="AF21" s="1650"/>
      <c r="AG21" s="1650"/>
      <c r="AH21" s="1650"/>
      <c r="AI21" s="1650">
        <f>'Basis &amp; Credits'!T21</f>
        <v>9611000</v>
      </c>
      <c r="AJ21" s="1650"/>
      <c r="AK21" s="1650"/>
      <c r="AL21" s="1650"/>
      <c r="AM21" s="1650"/>
    </row>
    <row r="22" spans="1:39" ht="13.2">
      <c r="B22" s="2207" t="s">
        <v>845</v>
      </c>
      <c r="C22" s="2208"/>
      <c r="D22" s="2208"/>
      <c r="E22" s="2208"/>
      <c r="F22" s="2208"/>
      <c r="G22" s="2208"/>
      <c r="H22" s="2208"/>
      <c r="I22" s="2208"/>
      <c r="J22" s="2208"/>
      <c r="K22" s="2208"/>
      <c r="L22" s="2208"/>
      <c r="M22" s="2208"/>
      <c r="N22" s="2208"/>
      <c r="O22" s="2208"/>
      <c r="P22" s="2208"/>
      <c r="Q22" s="2208"/>
      <c r="R22" s="2208"/>
      <c r="S22" s="2209"/>
      <c r="T22" s="2224">
        <f>(T20+T21)*-1</f>
        <v>0</v>
      </c>
      <c r="U22" s="2225"/>
      <c r="V22" s="2225"/>
      <c r="W22" s="2225"/>
      <c r="X22" s="2225"/>
      <c r="Y22" s="2224">
        <f>(Y20+Y21)*-1</f>
        <v>0</v>
      </c>
      <c r="Z22" s="2225"/>
      <c r="AA22" s="2225"/>
      <c r="AB22" s="2225"/>
      <c r="AC22" s="2225"/>
      <c r="AD22" s="2224">
        <f>(AD20+AD21)*-1</f>
        <v>0</v>
      </c>
      <c r="AE22" s="2225"/>
      <c r="AF22" s="2225"/>
      <c r="AG22" s="2225"/>
      <c r="AH22" s="2225"/>
      <c r="AI22" s="2224">
        <f>(AI20+AI21)*-1</f>
        <v>-9611000</v>
      </c>
      <c r="AJ22" s="2225"/>
      <c r="AK22" s="2225"/>
      <c r="AL22" s="2225"/>
      <c r="AM22" s="2225"/>
    </row>
    <row r="23" spans="1:39" ht="13.2">
      <c r="A23" s="2"/>
      <c r="B23" s="2218" t="s">
        <v>846</v>
      </c>
      <c r="C23" s="2219"/>
      <c r="D23" s="2219"/>
      <c r="E23" s="2219"/>
      <c r="F23" s="2219"/>
      <c r="G23" s="2219"/>
      <c r="H23" s="2219"/>
      <c r="I23" s="2219"/>
      <c r="J23" s="2219"/>
      <c r="K23" s="2219"/>
      <c r="L23" s="2219"/>
      <c r="M23" s="2219"/>
      <c r="N23" s="2219"/>
      <c r="O23" s="2219"/>
      <c r="P23" s="2219"/>
      <c r="Q23" s="2219"/>
      <c r="R23" s="2219"/>
      <c r="S23" s="2220"/>
      <c r="T23" s="2223">
        <f>T11+T22</f>
        <v>33397830</v>
      </c>
      <c r="U23" s="2227"/>
      <c r="V23" s="2227"/>
      <c r="W23" s="2227"/>
      <c r="X23" s="2227"/>
      <c r="Y23" s="2223">
        <f>Y11+Y22</f>
        <v>0</v>
      </c>
      <c r="Z23" s="2227"/>
      <c r="AA23" s="2227"/>
      <c r="AB23" s="2227"/>
      <c r="AC23" s="2227"/>
      <c r="AD23" s="2223">
        <f>AD11+AD22</f>
        <v>0</v>
      </c>
      <c r="AE23" s="2227"/>
      <c r="AF23" s="2227"/>
      <c r="AG23" s="2227"/>
      <c r="AH23" s="2227"/>
      <c r="AI23" s="2223">
        <f>AI11+AI22</f>
        <v>-9611000</v>
      </c>
      <c r="AJ23" s="2227"/>
      <c r="AK23" s="2227"/>
      <c r="AL23" s="2227"/>
      <c r="AM23" s="2227"/>
    </row>
    <row r="24" spans="1:39" ht="13.2">
      <c r="B24" s="2207" t="s">
        <v>1350</v>
      </c>
      <c r="C24" s="2208"/>
      <c r="D24" s="2208"/>
      <c r="E24" s="2208"/>
      <c r="F24" s="2208"/>
      <c r="G24" s="2208"/>
      <c r="H24" s="2208"/>
      <c r="I24" s="2208"/>
      <c r="J24" s="2208"/>
      <c r="K24" s="2208"/>
      <c r="L24" s="2208"/>
      <c r="M24" s="2208"/>
      <c r="N24" s="2208"/>
      <c r="O24" s="2208"/>
      <c r="P24" s="2208"/>
      <c r="Q24" s="2208"/>
      <c r="R24" s="2208"/>
      <c r="S24" s="2209"/>
      <c r="T24" s="2221">
        <f>Application!AD991</f>
        <v>0</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3.2">
      <c r="B25" s="2210" t="s">
        <v>1977</v>
      </c>
      <c r="C25" s="2211"/>
      <c r="D25" s="2211"/>
      <c r="E25" s="2211"/>
      <c r="F25" s="2211"/>
      <c r="G25" s="2211"/>
      <c r="H25" s="2211"/>
      <c r="I25" s="2211"/>
      <c r="J25" s="2211"/>
      <c r="K25" s="2211"/>
      <c r="L25" s="2211"/>
      <c r="M25" s="2211"/>
      <c r="N25" s="2211"/>
      <c r="O25" s="2211"/>
      <c r="P25" s="2211"/>
      <c r="Q25" s="2211"/>
      <c r="R25" s="2211"/>
      <c r="S25" s="2212"/>
      <c r="T25" s="2230">
        <v>1</v>
      </c>
      <c r="U25" s="2231"/>
      <c r="V25" s="2231"/>
      <c r="W25" s="2231"/>
      <c r="X25" s="2232"/>
      <c r="Y25" s="2230">
        <v>1</v>
      </c>
      <c r="Z25" s="2231"/>
      <c r="AA25" s="2231"/>
      <c r="AB25" s="2231"/>
      <c r="AC25" s="2232"/>
      <c r="AD25" s="2230">
        <v>1</v>
      </c>
      <c r="AE25" s="2231"/>
      <c r="AF25" s="2231"/>
      <c r="AG25" s="2231"/>
      <c r="AH25" s="2232"/>
      <c r="AI25" s="2230">
        <v>1</v>
      </c>
      <c r="AJ25" s="2231"/>
      <c r="AK25" s="2231"/>
      <c r="AL25" s="2231"/>
      <c r="AM25" s="2232"/>
    </row>
    <row r="26" spans="1:39" ht="13.2">
      <c r="B26" s="2207" t="s">
        <v>847</v>
      </c>
      <c r="C26" s="2208"/>
      <c r="D26" s="2208"/>
      <c r="E26" s="2208"/>
      <c r="F26" s="2208"/>
      <c r="G26" s="2208"/>
      <c r="H26" s="2208"/>
      <c r="I26" s="2208"/>
      <c r="J26" s="2208"/>
      <c r="K26" s="2208"/>
      <c r="L26" s="2208"/>
      <c r="M26" s="2208"/>
      <c r="N26" s="2208"/>
      <c r="O26" s="2208"/>
      <c r="P26" s="2208"/>
      <c r="Q26" s="2208"/>
      <c r="R26" s="2208"/>
      <c r="S26" s="2209"/>
      <c r="T26" s="2228">
        <f>T23*T25</f>
        <v>33397830</v>
      </c>
      <c r="U26" s="2229"/>
      <c r="V26" s="2229"/>
      <c r="W26" s="2229"/>
      <c r="X26" s="2229"/>
      <c r="Y26" s="2228">
        <f>Y23*Y25</f>
        <v>0</v>
      </c>
      <c r="Z26" s="2229"/>
      <c r="AA26" s="2229"/>
      <c r="AB26" s="2229"/>
      <c r="AC26" s="2229"/>
      <c r="AD26" s="2228">
        <f>AD23*AD25</f>
        <v>0</v>
      </c>
      <c r="AE26" s="2229"/>
      <c r="AF26" s="2229"/>
      <c r="AG26" s="2229"/>
      <c r="AH26" s="2229"/>
      <c r="AI26" s="2228">
        <f>AI23*AI25</f>
        <v>-9611000</v>
      </c>
      <c r="AJ26" s="2229"/>
      <c r="AK26" s="2229"/>
      <c r="AL26" s="2229"/>
      <c r="AM26" s="2229"/>
    </row>
    <row r="27" spans="1:39" ht="13.2">
      <c r="A27" s="7"/>
      <c r="B27" s="2213" t="s">
        <v>978</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925</v>
      </c>
      <c r="C28" s="2208"/>
      <c r="D28" s="2208"/>
      <c r="E28" s="2208"/>
      <c r="F28" s="2208"/>
      <c r="G28" s="2208"/>
      <c r="H28" s="2208"/>
      <c r="I28" s="2208"/>
      <c r="J28" s="2208"/>
      <c r="K28" s="2208"/>
      <c r="L28" s="2208"/>
      <c r="M28" s="2208"/>
      <c r="N28" s="2208"/>
      <c r="O28" s="2208"/>
      <c r="P28" s="2208"/>
      <c r="Q28" s="2208"/>
      <c r="R28" s="2208"/>
      <c r="S28" s="2209"/>
      <c r="T28" s="1640">
        <f>IF(ISERROR((T26*T27)),0,(T26*T27))</f>
        <v>33397830</v>
      </c>
      <c r="U28" s="2226"/>
      <c r="V28" s="2226"/>
      <c r="W28" s="2226"/>
      <c r="X28" s="2226"/>
      <c r="Y28" s="1640">
        <f>IF(ISERROR((Y26*Y27)),0,(Y26*Y27))</f>
        <v>0</v>
      </c>
      <c r="Z28" s="2226"/>
      <c r="AA28" s="2226"/>
      <c r="AB28" s="2226"/>
      <c r="AC28" s="2226"/>
      <c r="AD28" s="1640">
        <f>IF(ISERROR((AD26*AD27)),0,(AD26*AD27))</f>
        <v>0</v>
      </c>
      <c r="AE28" s="2226"/>
      <c r="AF28" s="2226"/>
      <c r="AG28" s="2226"/>
      <c r="AH28" s="2226"/>
      <c r="AI28" s="1640">
        <f>IF(ISERROR((AI26*AI27)),0,(AI26*AI27))</f>
        <v>-9611000</v>
      </c>
      <c r="AJ28" s="2226"/>
      <c r="AK28" s="2226"/>
      <c r="AL28" s="2226"/>
      <c r="AM28" s="2226"/>
    </row>
    <row r="29" spans="1:39" ht="13.2">
      <c r="B29" s="2207" t="s">
        <v>689</v>
      </c>
      <c r="C29" s="2208"/>
      <c r="D29" s="2208"/>
      <c r="E29" s="2208"/>
      <c r="F29" s="2208"/>
      <c r="G29" s="2208"/>
      <c r="H29" s="2208"/>
      <c r="I29" s="2208"/>
      <c r="J29" s="2208"/>
      <c r="K29" s="2208"/>
      <c r="L29" s="2208"/>
      <c r="M29" s="2208"/>
      <c r="N29" s="2208"/>
      <c r="O29" s="2208"/>
      <c r="P29" s="2208"/>
      <c r="Q29" s="2208"/>
      <c r="R29" s="2208"/>
      <c r="S29" s="2209"/>
      <c r="T29" s="2221">
        <f>T28+Y28+AD28+AI28</f>
        <v>23786830</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637"/>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77" t="s">
        <v>46</v>
      </c>
      <c r="AE35" s="2277"/>
      <c r="AF35" s="2277"/>
      <c r="AG35" s="2277"/>
      <c r="AH35" s="227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77"/>
      <c r="AE36" s="2277"/>
      <c r="AF36" s="2277"/>
      <c r="AG36" s="2277"/>
      <c r="AH36" s="227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77"/>
      <c r="AE37" s="2277"/>
      <c r="AF37" s="2277"/>
      <c r="AG37" s="2277"/>
      <c r="AH37" s="2277"/>
    </row>
    <row r="38" spans="1:40" ht="12.75" customHeight="1">
      <c r="A38" s="6"/>
      <c r="B38" s="2207" t="s">
        <v>925</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0</v>
      </c>
      <c r="Z38" s="2227"/>
      <c r="AA38" s="2227"/>
      <c r="AB38" s="2227"/>
      <c r="AC38" s="2227"/>
      <c r="AD38" s="2227">
        <f>IF(T24&gt;=(T23+Y23+AD23+AI23),AD28+AI28,0)</f>
        <v>0</v>
      </c>
      <c r="AE38" s="2227"/>
      <c r="AF38" s="2227"/>
      <c r="AG38" s="2227"/>
      <c r="AH38" s="2227"/>
    </row>
    <row r="39" spans="1:40" ht="13.2">
      <c r="B39" s="2207" t="s">
        <v>837</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2">
        <v>0.09</v>
      </c>
      <c r="Z39" s="2282"/>
      <c r="AA39" s="2282"/>
      <c r="AB39" s="2282"/>
      <c r="AC39" s="2282"/>
      <c r="AD39" s="2282">
        <f>'Basis &amp; Credits'!AD39:AH39</f>
        <v>0.04</v>
      </c>
      <c r="AE39" s="2282"/>
      <c r="AF39" s="2282"/>
      <c r="AG39" s="2282"/>
      <c r="AH39" s="2282"/>
    </row>
    <row r="40" spans="1:40"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0</v>
      </c>
      <c r="Z40" s="2227"/>
      <c r="AA40" s="2227"/>
      <c r="AB40" s="2227"/>
      <c r="AC40" s="2227"/>
      <c r="AD40" s="2223">
        <f>ROUND(AD38*AD39,0)</f>
        <v>0</v>
      </c>
      <c r="AE40" s="2227"/>
      <c r="AF40" s="2227"/>
      <c r="AG40" s="2227"/>
      <c r="AH40" s="2227"/>
    </row>
    <row r="41" spans="1:40" ht="13.2">
      <c r="B41" s="2207" t="s">
        <v>683</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3">
        <f>IF((Y40+AD40)&gt;2500000,2500000,Y40+AD40)</f>
        <v>0</v>
      </c>
      <c r="Z41" s="2284"/>
      <c r="AA41" s="2284"/>
      <c r="AB41" s="2284"/>
      <c r="AC41" s="2284"/>
      <c r="AD41" s="2284"/>
      <c r="AE41" s="2284"/>
      <c r="AF41" s="2284"/>
      <c r="AG41" s="2284"/>
      <c r="AH41" s="2285"/>
    </row>
    <row r="42" spans="1:40" ht="12.75" customHeight="1">
      <c r="A42" s="6"/>
      <c r="B42" s="2267" t="s">
        <v>1289</v>
      </c>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71">
        <f>'Sources and Uses Budget'!B104-'Sources and Uses Budget'!$B$15</f>
        <v>38835549</v>
      </c>
      <c r="AC46" s="2272"/>
      <c r="AD46" s="2272"/>
      <c r="AE46" s="2272"/>
      <c r="AF46" s="2273"/>
    </row>
    <row r="47" spans="1:40" ht="12.75" customHeight="1">
      <c r="D47" s="6" t="s">
        <v>919</v>
      </c>
      <c r="AB47" s="2271">
        <f>Application!AG642-MIN('Sources and Uses Budget'!B15,Application!AG385)</f>
        <v>0</v>
      </c>
      <c r="AC47" s="2272"/>
      <c r="AD47" s="2272"/>
      <c r="AE47" s="2272"/>
      <c r="AF47" s="2273"/>
    </row>
    <row r="48" spans="1:40" ht="13.2">
      <c r="D48" s="6" t="s">
        <v>422</v>
      </c>
      <c r="AB48" s="2271">
        <f>AB46-AB47</f>
        <v>38835549</v>
      </c>
      <c r="AC48" s="2272"/>
      <c r="AD48" s="2272"/>
      <c r="AE48" s="2272"/>
      <c r="AF48" s="2273"/>
    </row>
    <row r="49" spans="1:40" ht="13.2">
      <c r="D49" s="6" t="s">
        <v>958</v>
      </c>
      <c r="X49" s="2"/>
      <c r="Y49" s="2"/>
      <c r="Z49" s="2"/>
      <c r="AA49" s="409"/>
      <c r="AB49" s="2261"/>
      <c r="AC49" s="2262"/>
      <c r="AD49" s="2262"/>
      <c r="AE49" s="2262"/>
      <c r="AF49" s="2263"/>
    </row>
    <row r="50" spans="1:40" s="515" customFormat="1" ht="15" customHeight="1">
      <c r="A50" s="2"/>
      <c r="B50" s="2"/>
      <c r="C50" s="2"/>
      <c r="D50" s="272"/>
      <c r="E50" s="2274" t="s">
        <v>1507</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78"/>
      <c r="AB50" s="778"/>
      <c r="AC50" s="778"/>
      <c r="AD50" s="778"/>
      <c r="AE50" s="778"/>
      <c r="AF50" s="778"/>
      <c r="AG50" s="2"/>
      <c r="AH50" s="2"/>
      <c r="AI50" s="2"/>
      <c r="AJ50" s="2"/>
      <c r="AK50" s="2"/>
      <c r="AL50" s="2"/>
      <c r="AM50" s="2"/>
      <c r="AN50" s="2"/>
    </row>
    <row r="51" spans="1:40" s="515"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1">
        <f>ROUND(IF(ISERROR((AB48/AB49)),0,(AB48/AB49)),0)</f>
        <v>0</v>
      </c>
      <c r="AC53" s="2272"/>
      <c r="AD53" s="2272"/>
      <c r="AE53" s="2272"/>
      <c r="AF53" s="2273"/>
    </row>
    <row r="54" spans="1:40" ht="12.75" customHeight="1">
      <c r="D54" s="6" t="s">
        <v>621</v>
      </c>
      <c r="AB54" s="2271">
        <f>(AB53/10)</f>
        <v>0</v>
      </c>
      <c r="AC54" s="2272"/>
      <c r="AD54" s="2272"/>
      <c r="AE54" s="2272"/>
      <c r="AF54" s="2273"/>
    </row>
    <row r="55" spans="1:40" ht="13.2">
      <c r="D55" s="6" t="s">
        <v>379</v>
      </c>
      <c r="AB55" s="2268">
        <f>(IF((Y41&lt;AB54),Y41,AB54))</f>
        <v>0</v>
      </c>
      <c r="AC55" s="2269"/>
      <c r="AD55" s="2269"/>
      <c r="AE55" s="2269"/>
      <c r="AF55" s="2270"/>
    </row>
    <row r="56" spans="1:40" ht="13.2">
      <c r="D56" s="6" t="s">
        <v>118</v>
      </c>
      <c r="AB56" s="2271">
        <f>ROUND((10*AB55*AB49),0)</f>
        <v>0</v>
      </c>
      <c r="AC56" s="2272"/>
      <c r="AD56" s="2272"/>
      <c r="AE56" s="2272"/>
      <c r="AF56" s="22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38835549</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8" t="s">
        <v>1980</v>
      </c>
      <c r="B60" s="2278"/>
      <c r="C60" s="2278"/>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row>
    <row r="61" spans="1:40" ht="13.65" customHeight="1" thickTop="1">
      <c r="A61" s="2280"/>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1" t="s">
        <v>331</v>
      </c>
      <c r="Z62" s="2281"/>
      <c r="AA62" s="2281"/>
      <c r="AB62" s="2281"/>
      <c r="AC62" s="2281"/>
      <c r="AD62" s="2281" t="s">
        <v>46</v>
      </c>
      <c r="AE62" s="2281"/>
      <c r="AF62" s="2281"/>
      <c r="AG62" s="2281"/>
      <c r="AH62" s="2281"/>
      <c r="AI62" s="1"/>
      <c r="AJ62" s="1"/>
      <c r="AK62" s="1"/>
      <c r="AL62" s="1"/>
      <c r="AM62" s="1"/>
      <c r="AN62" s="1"/>
    </row>
    <row r="63" spans="1:40" ht="13.2">
      <c r="C63" s="330"/>
      <c r="D63" s="1262" t="s">
        <v>1376</v>
      </c>
      <c r="E63" s="802"/>
      <c r="F63" s="802"/>
      <c r="G63" s="802"/>
      <c r="H63" s="802"/>
      <c r="I63" s="802"/>
      <c r="J63" s="802"/>
      <c r="K63" s="802"/>
      <c r="L63" s="22"/>
      <c r="M63" s="22"/>
      <c r="N63" s="22"/>
      <c r="O63" s="22"/>
      <c r="P63" s="22"/>
      <c r="Q63" s="22"/>
      <c r="R63" s="22"/>
      <c r="S63" s="22"/>
      <c r="T63" s="22"/>
      <c r="U63" s="22"/>
      <c r="V63" s="22"/>
      <c r="W63" s="22"/>
      <c r="X63" s="22"/>
      <c r="Y63" s="1884">
        <f>Y28</f>
        <v>0</v>
      </c>
      <c r="Z63" s="2264"/>
      <c r="AA63" s="2264"/>
      <c r="AB63" s="2264"/>
      <c r="AC63" s="2264"/>
      <c r="AD63" s="1884">
        <f>AI28</f>
        <v>-9611000</v>
      </c>
      <c r="AE63" s="2264"/>
      <c r="AF63" s="2264"/>
      <c r="AG63" s="2264"/>
      <c r="AH63" s="2264"/>
    </row>
    <row r="64" spans="1:40" ht="15" customHeight="1">
      <c r="C64" s="6"/>
      <c r="E64" s="2279" t="s">
        <v>1427</v>
      </c>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row>
    <row r="65" spans="1:40" ht="24.45" customHeight="1">
      <c r="C65" s="6"/>
      <c r="E65" s="2279"/>
      <c r="F65" s="2279"/>
      <c r="G65" s="2279"/>
      <c r="H65" s="2279"/>
      <c r="I65" s="2279"/>
      <c r="J65" s="2279"/>
      <c r="K65" s="2279"/>
      <c r="L65" s="2279"/>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row>
    <row r="66" spans="1:40" ht="13.2">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260">
        <v>0.3</v>
      </c>
      <c r="Z66" s="2260"/>
      <c r="AA66" s="2260"/>
      <c r="AB66" s="2260"/>
      <c r="AC66" s="2260"/>
      <c r="AD66" s="2260">
        <v>0.13</v>
      </c>
      <c r="AE66" s="2260"/>
      <c r="AF66" s="2260"/>
      <c r="AG66" s="2260"/>
      <c r="AH66" s="2260"/>
    </row>
    <row r="67" spans="1:40" ht="13.2">
      <c r="C67" s="6"/>
      <c r="D67" s="6" t="s">
        <v>1045</v>
      </c>
      <c r="Y67" s="1884">
        <f>ROUND(Y63*Y66,0)</f>
        <v>0</v>
      </c>
      <c r="Z67" s="2264"/>
      <c r="AA67" s="2264"/>
      <c r="AB67" s="2264"/>
      <c r="AC67" s="2264"/>
      <c r="AD67" s="1884" t="str">
        <f>IF(OR(Application!D211="At-Risk",Application!D211="At-Risk/Located in Rural Census Tract",Application!D214="At-Risk"),ROUND(AD63*AD66,0),"$0")</f>
        <v>$0</v>
      </c>
      <c r="AE67" s="2265"/>
      <c r="AF67" s="2265"/>
      <c r="AG67" s="2265"/>
      <c r="AH67" s="2265"/>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1"/>
      <c r="AC70" s="2262"/>
      <c r="AD70" s="2262"/>
      <c r="AE70" s="2262"/>
      <c r="AF70" s="2263"/>
      <c r="AG70" s="2"/>
      <c r="AH70" s="2"/>
      <c r="AI70" s="2"/>
      <c r="AJ70" s="2"/>
      <c r="AK70" s="2"/>
      <c r="AL70" s="2"/>
      <c r="AM70" s="2"/>
      <c r="AN70" s="2"/>
    </row>
    <row r="71" spans="1:40" ht="12.75" customHeight="1">
      <c r="A71" s="330"/>
      <c r="B71" s="2"/>
      <c r="C71" s="330"/>
      <c r="D71" s="330"/>
      <c r="E71" s="2266" t="s">
        <v>1975</v>
      </c>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803"/>
      <c r="AB71" s="803"/>
      <c r="AC71" s="803"/>
      <c r="AG71" s="2"/>
      <c r="AH71" s="2"/>
      <c r="AI71" s="2"/>
      <c r="AJ71" s="2"/>
      <c r="AK71" s="2"/>
      <c r="AL71" s="2"/>
      <c r="AM71" s="2"/>
      <c r="AN71" s="2"/>
    </row>
    <row r="72" spans="1:40" ht="12.75" customHeight="1">
      <c r="A72" s="330"/>
      <c r="B72" s="2"/>
      <c r="C72" s="330"/>
      <c r="D72" s="330"/>
      <c r="E72" s="2266"/>
      <c r="F72" s="2266"/>
      <c r="G72" s="2266"/>
      <c r="H72" s="2266"/>
      <c r="I72" s="2266"/>
      <c r="J72" s="2266"/>
      <c r="K72" s="2266"/>
      <c r="L72" s="2266"/>
      <c r="M72" s="2266"/>
      <c r="N72" s="2266"/>
      <c r="O72" s="2266"/>
      <c r="P72" s="2266"/>
      <c r="Q72" s="2266"/>
      <c r="R72" s="2266"/>
      <c r="S72" s="2266"/>
      <c r="T72" s="2266"/>
      <c r="U72" s="2266"/>
      <c r="V72" s="2266"/>
      <c r="W72" s="2266"/>
      <c r="X72" s="2266"/>
      <c r="Y72" s="2266"/>
      <c r="Z72" s="2266"/>
      <c r="AA72" s="803"/>
      <c r="AB72" s="803"/>
      <c r="AC72" s="803"/>
      <c r="AG72" s="2"/>
      <c r="AH72" s="2"/>
      <c r="AI72" s="2"/>
      <c r="AJ72" s="2"/>
      <c r="AK72" s="2"/>
      <c r="AL72" s="2"/>
      <c r="AM72" s="2"/>
      <c r="AN72" s="2"/>
    </row>
    <row r="73" spans="1:40" ht="12" customHeight="1">
      <c r="A73" s="330"/>
      <c r="B73" s="2"/>
      <c r="C73" s="330"/>
      <c r="D73" s="330"/>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259">
        <f>ROUND(IF(ISERROR((AB58/AB70)),0,(AB58/AB70)),0)</f>
        <v>0</v>
      </c>
      <c r="AC75" s="2259"/>
      <c r="AD75" s="2259"/>
      <c r="AE75" s="2259"/>
      <c r="AF75" s="2259"/>
    </row>
    <row r="76" spans="1:40" ht="12.75" customHeight="1">
      <c r="C76" s="6"/>
      <c r="D76" s="6" t="s">
        <v>116</v>
      </c>
      <c r="AB76" s="2256">
        <f>IF((Y67+AD67&lt;AB75),Y67+AD67,AB75)</f>
        <v>0</v>
      </c>
      <c r="AC76" s="2257"/>
      <c r="AD76" s="2257"/>
      <c r="AE76" s="2257"/>
      <c r="AF76" s="2258"/>
    </row>
    <row r="77" spans="1:40" ht="12.75" customHeight="1">
      <c r="C77" s="6"/>
      <c r="D77" s="6" t="s">
        <v>1046</v>
      </c>
      <c r="AB77" s="2255">
        <f>AB76*AB70</f>
        <v>0</v>
      </c>
      <c r="AC77" s="2255"/>
      <c r="AD77" s="2255"/>
      <c r="AE77" s="2255"/>
      <c r="AF77" s="2255"/>
    </row>
    <row r="78" spans="1:40" ht="12.75" customHeight="1">
      <c r="C78" s="6"/>
      <c r="D78" s="6"/>
      <c r="AB78" s="934"/>
      <c r="AC78" s="934"/>
      <c r="AD78" s="934"/>
      <c r="AE78" s="934"/>
      <c r="AF78" s="934"/>
    </row>
    <row r="79" spans="1:40" ht="12.75" customHeight="1">
      <c r="A79" s="1"/>
      <c r="B79" s="1"/>
      <c r="C79" s="1"/>
      <c r="D79" s="6" t="s">
        <v>117</v>
      </c>
      <c r="AB79" s="2254">
        <f>AB48-(AB56+AB77)</f>
        <v>38835549</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4" customWidth="1"/>
    <col min="2" max="2" width="0.88671875" style="1264" customWidth="1"/>
    <col min="3" max="18" width="2.44140625" style="1264" customWidth="1"/>
    <col min="19" max="19" width="4" style="1264" customWidth="1"/>
    <col min="20" max="39" width="2.44140625" style="1264" customWidth="1"/>
    <col min="40" max="40" width="1.44140625" style="1264" customWidth="1"/>
    <col min="41" max="16384" width="2.44140625" style="2" hidden="1"/>
  </cols>
  <sheetData>
    <row r="1" spans="1:40" ht="12.75" customHeight="1">
      <c r="A1" s="2250" t="s">
        <v>1508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4"/>
      <c r="AA6" s="2"/>
    </row>
    <row r="7" spans="1:40" ht="13.65" customHeight="1">
      <c r="B7" s="9"/>
      <c r="C7" s="10"/>
      <c r="D7" s="10"/>
      <c r="E7" s="10"/>
      <c r="F7" s="10"/>
      <c r="G7" s="10"/>
      <c r="H7" s="10"/>
      <c r="I7" s="10"/>
      <c r="J7" s="10"/>
      <c r="K7" s="10"/>
      <c r="L7" s="10"/>
      <c r="M7" s="10"/>
      <c r="N7" s="10"/>
      <c r="O7" s="10"/>
      <c r="P7" s="10"/>
      <c r="Q7" s="10"/>
      <c r="R7" s="10"/>
      <c r="S7" s="10"/>
      <c r="T7" s="2233" t="s">
        <v>1815</v>
      </c>
      <c r="U7" s="2233"/>
      <c r="V7" s="2233"/>
      <c r="W7" s="2233"/>
      <c r="X7" s="2233"/>
      <c r="Y7" s="2233" t="s">
        <v>1978</v>
      </c>
      <c r="Z7" s="2233"/>
      <c r="AA7" s="2233"/>
      <c r="AB7" s="2233"/>
      <c r="AC7" s="2233"/>
      <c r="AD7" s="2233" t="s">
        <v>1514</v>
      </c>
      <c r="AE7" s="2233"/>
      <c r="AF7" s="2233"/>
      <c r="AG7" s="2233"/>
      <c r="AH7" s="2233"/>
      <c r="AI7" s="2233" t="s">
        <v>1979</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3.2">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2">
      <c r="B11" s="2207" t="s">
        <v>566</v>
      </c>
      <c r="C11" s="2208"/>
      <c r="D11" s="2208"/>
      <c r="E11" s="2208"/>
      <c r="F11" s="2208"/>
      <c r="G11" s="2208"/>
      <c r="H11" s="2208"/>
      <c r="I11" s="2208"/>
      <c r="J11" s="2208"/>
      <c r="K11" s="2208"/>
      <c r="L11" s="2208"/>
      <c r="M11" s="2208"/>
      <c r="N11" s="2208"/>
      <c r="O11" s="2208"/>
      <c r="P11" s="2208"/>
      <c r="Q11" s="2208"/>
      <c r="R11" s="2208"/>
      <c r="S11" s="2209"/>
      <c r="T11" s="2244">
        <f>IF('Sources and Basis Breakdown'!F104=0,'Sources and Basis Breakdown'!E104,'Sources and Basis Breakdown'!F104)</f>
        <v>33397830</v>
      </c>
      <c r="U11" s="2234"/>
      <c r="V11" s="2234"/>
      <c r="W11" s="2234"/>
      <c r="X11" s="2234"/>
      <c r="Y11" s="2253">
        <f>IF('Sources and Basis Breakdown'!G104+'Sources and Basis Breakdown'!F104='Sources and Basis Breakdown'!E104,'Sources and Basis Breakdown'!G104,0)</f>
        <v>0</v>
      </c>
      <c r="Z11" s="2234"/>
      <c r="AA11" s="2234"/>
      <c r="AB11" s="2234"/>
      <c r="AC11" s="2234"/>
      <c r="AD11" s="2234">
        <f>IF('Sources and Basis Breakdown'!I104=0,'Sources and Basis Breakdown'!H104,'Sources and Basis Breakdown'!I104)</f>
        <v>0</v>
      </c>
      <c r="AE11" s="2234"/>
      <c r="AF11" s="2234"/>
      <c r="AG11" s="2234"/>
      <c r="AH11" s="2234"/>
      <c r="AI11" s="2234">
        <f>IF('Sources and Basis Breakdown'!I104+'Sources and Basis Breakdown'!J104='Sources and Basis Breakdown'!H104,'Sources and Basis Breakdown'!J104,0)</f>
        <v>0</v>
      </c>
      <c r="AJ11" s="2234"/>
      <c r="AK11" s="2234"/>
      <c r="AL11" s="2234"/>
      <c r="AM11" s="2234"/>
    </row>
    <row r="12" spans="1:40" ht="13.2">
      <c r="B12" s="2237" t="s">
        <v>496</v>
      </c>
      <c r="C12" s="2238"/>
      <c r="D12" s="2238"/>
      <c r="E12" s="2238"/>
      <c r="F12" s="2238"/>
      <c r="G12" s="2238"/>
      <c r="H12" s="2238"/>
      <c r="I12" s="2238"/>
      <c r="J12" s="2238"/>
      <c r="K12" s="2238"/>
      <c r="L12" s="2238"/>
      <c r="M12" s="2238"/>
      <c r="N12" s="2238"/>
      <c r="O12" s="2238"/>
      <c r="P12" s="2238"/>
      <c r="Q12" s="2238"/>
      <c r="R12" s="2238"/>
      <c r="S12" s="2239"/>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3.2">
      <c r="B13" s="11"/>
      <c r="C13" s="2240" t="s">
        <v>1933</v>
      </c>
      <c r="D13" s="2241"/>
      <c r="E13" s="2241"/>
      <c r="F13" s="2241"/>
      <c r="G13" s="2241"/>
      <c r="H13" s="2241"/>
      <c r="I13" s="2241"/>
      <c r="J13" s="2241"/>
      <c r="K13" s="2241"/>
      <c r="L13" s="2241"/>
      <c r="M13" s="2241"/>
      <c r="N13" s="2241"/>
      <c r="O13" s="2241"/>
      <c r="P13" s="2241"/>
      <c r="Q13" s="2241"/>
      <c r="R13" s="2241"/>
      <c r="S13" s="2242"/>
      <c r="T13" s="2245">
        <f>'Basis &amp; Credits'!T13</f>
        <v>0</v>
      </c>
      <c r="U13" s="2246"/>
      <c r="V13" s="2246"/>
      <c r="W13" s="2246"/>
      <c r="X13" s="2246"/>
      <c r="Y13" s="2245">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3.2">
      <c r="B14" s="11"/>
      <c r="C14" s="2241" t="s">
        <v>841</v>
      </c>
      <c r="D14" s="2241"/>
      <c r="E14" s="2241"/>
      <c r="F14" s="2241"/>
      <c r="G14" s="2241"/>
      <c r="H14" s="2241"/>
      <c r="I14" s="2241"/>
      <c r="J14" s="2241"/>
      <c r="K14" s="2241"/>
      <c r="L14" s="2241"/>
      <c r="M14" s="2241"/>
      <c r="N14" s="2241"/>
      <c r="O14" s="2241"/>
      <c r="P14" s="2241"/>
      <c r="Q14" s="2241"/>
      <c r="R14" s="2241"/>
      <c r="S14" s="2242"/>
      <c r="T14" s="1656">
        <f>'Basis &amp; Credits'!T14</f>
        <v>0</v>
      </c>
      <c r="U14" s="1650"/>
      <c r="V14" s="1650"/>
      <c r="W14" s="1650"/>
      <c r="X14" s="1650"/>
      <c r="Y14" s="1656">
        <f>'Basis &amp; Credits'!Y14</f>
        <v>0</v>
      </c>
      <c r="Z14" s="1650"/>
      <c r="AA14" s="1650"/>
      <c r="AB14" s="1650"/>
      <c r="AC14" s="1650"/>
      <c r="AD14" s="1650">
        <f>'Basis &amp; Credits'!AD14</f>
        <v>0</v>
      </c>
      <c r="AE14" s="1650"/>
      <c r="AF14" s="1650"/>
      <c r="AG14" s="1650"/>
      <c r="AH14" s="1650"/>
      <c r="AI14" s="1650">
        <f>'Basis &amp; Credits'!AI14</f>
        <v>0</v>
      </c>
      <c r="AJ14" s="1650"/>
      <c r="AK14" s="1650"/>
      <c r="AL14" s="1650"/>
      <c r="AM14" s="1650"/>
    </row>
    <row r="15" spans="1:40" ht="13.2">
      <c r="B15" s="11"/>
      <c r="C15" s="2241" t="s">
        <v>842</v>
      </c>
      <c r="D15" s="2241"/>
      <c r="E15" s="2241"/>
      <c r="F15" s="2241"/>
      <c r="G15" s="2241"/>
      <c r="H15" s="2241"/>
      <c r="I15" s="2241"/>
      <c r="J15" s="2241"/>
      <c r="K15" s="2241"/>
      <c r="L15" s="2241"/>
      <c r="M15" s="2241"/>
      <c r="N15" s="2241"/>
      <c r="O15" s="2241"/>
      <c r="P15" s="2241"/>
      <c r="Q15" s="2241"/>
      <c r="R15" s="2241"/>
      <c r="S15" s="2242"/>
      <c r="T15" s="1656">
        <f>'Basis &amp; Credits'!T15</f>
        <v>0</v>
      </c>
      <c r="U15" s="1650"/>
      <c r="V15" s="1650"/>
      <c r="W15" s="1650"/>
      <c r="X15" s="1650"/>
      <c r="Y15" s="1656">
        <f>'Basis &amp; Credits'!Y15</f>
        <v>0</v>
      </c>
      <c r="Z15" s="1650"/>
      <c r="AA15" s="1650"/>
      <c r="AB15" s="1650"/>
      <c r="AC15" s="1650"/>
      <c r="AD15" s="1650">
        <f>'Basis &amp; Credits'!AD15</f>
        <v>0</v>
      </c>
      <c r="AE15" s="1650"/>
      <c r="AF15" s="1650"/>
      <c r="AG15" s="1650"/>
      <c r="AH15" s="1650"/>
      <c r="AI15" s="1650">
        <f>'Basis &amp; Credits'!AI15</f>
        <v>0</v>
      </c>
      <c r="AJ15" s="1650"/>
      <c r="AK15" s="1650"/>
      <c r="AL15" s="1650"/>
      <c r="AM15" s="1650"/>
    </row>
    <row r="16" spans="1:40" ht="13.2">
      <c r="B16" s="11"/>
      <c r="C16" s="2240" t="s">
        <v>1117</v>
      </c>
      <c r="D16" s="2240"/>
      <c r="E16" s="2240"/>
      <c r="F16" s="2240"/>
      <c r="G16" s="2240"/>
      <c r="H16" s="2240"/>
      <c r="I16" s="2240"/>
      <c r="J16" s="2240"/>
      <c r="K16" s="2240"/>
      <c r="L16" s="2240"/>
      <c r="M16" s="2240"/>
      <c r="N16" s="2240"/>
      <c r="O16" s="2240"/>
      <c r="P16" s="2240"/>
      <c r="Q16" s="2240"/>
      <c r="R16" s="2240"/>
      <c r="S16" s="2243"/>
      <c r="T16" s="1656">
        <f>'Basis &amp; Credits'!T16</f>
        <v>0</v>
      </c>
      <c r="U16" s="1650"/>
      <c r="V16" s="1650"/>
      <c r="W16" s="1650"/>
      <c r="X16" s="1650"/>
      <c r="Y16" s="1656">
        <f>'Basis &amp; Credits'!Y16</f>
        <v>0</v>
      </c>
      <c r="Z16" s="1650"/>
      <c r="AA16" s="1650"/>
      <c r="AB16" s="1650"/>
      <c r="AC16" s="1650"/>
      <c r="AD16" s="1650">
        <f>'Basis &amp; Credits'!AD16</f>
        <v>0</v>
      </c>
      <c r="AE16" s="1650"/>
      <c r="AF16" s="1650"/>
      <c r="AG16" s="1650"/>
      <c r="AH16" s="1650"/>
      <c r="AI16" s="1650">
        <f>'Basis &amp; Credits'!AI16</f>
        <v>0</v>
      </c>
      <c r="AJ16" s="1650"/>
      <c r="AK16" s="1650"/>
      <c r="AL16" s="1650"/>
      <c r="AM16" s="1650"/>
    </row>
    <row r="17" spans="1:39" ht="13.2">
      <c r="B17" s="11"/>
      <c r="C17" s="2241" t="s">
        <v>843</v>
      </c>
      <c r="D17" s="2241"/>
      <c r="E17" s="2241"/>
      <c r="F17" s="2241"/>
      <c r="G17" s="2241"/>
      <c r="H17" s="2241"/>
      <c r="I17" s="2241"/>
      <c r="J17" s="2241"/>
      <c r="K17" s="2241"/>
      <c r="L17" s="2241"/>
      <c r="M17" s="2241"/>
      <c r="N17" s="2241"/>
      <c r="O17" s="2241"/>
      <c r="P17" s="2241"/>
      <c r="Q17" s="2241"/>
      <c r="R17" s="2241"/>
      <c r="S17" s="2242"/>
      <c r="T17" s="1656">
        <f>'Basis &amp; Credits'!T17</f>
        <v>0</v>
      </c>
      <c r="U17" s="1650"/>
      <c r="V17" s="1650"/>
      <c r="W17" s="1650"/>
      <c r="X17" s="1650"/>
      <c r="Y17" s="1656">
        <f>'Basis &amp; Credits'!Y17</f>
        <v>0</v>
      </c>
      <c r="Z17" s="1650"/>
      <c r="AA17" s="1650"/>
      <c r="AB17" s="1650"/>
      <c r="AC17" s="1650"/>
      <c r="AD17" s="1650">
        <f>'Basis &amp; Credits'!AD17</f>
        <v>0</v>
      </c>
      <c r="AE17" s="1650"/>
      <c r="AF17" s="1650"/>
      <c r="AG17" s="1650"/>
      <c r="AH17" s="1650"/>
      <c r="AI17" s="1650">
        <f>'Basis &amp; Credits'!AI17</f>
        <v>0</v>
      </c>
      <c r="AJ17" s="1650"/>
      <c r="AK17" s="1650"/>
      <c r="AL17" s="1650"/>
      <c r="AM17" s="1650"/>
    </row>
    <row r="18" spans="1:39" ht="13.2">
      <c r="B18" s="929"/>
      <c r="C18" s="2240" t="s">
        <v>1519</v>
      </c>
      <c r="D18" s="2241"/>
      <c r="E18" s="2241"/>
      <c r="F18" s="2241"/>
      <c r="G18" s="2241"/>
      <c r="H18" s="2241"/>
      <c r="I18" s="2241"/>
      <c r="J18" s="2241"/>
      <c r="K18" s="2241"/>
      <c r="L18" s="2241"/>
      <c r="M18" s="2241"/>
      <c r="N18" s="2241"/>
      <c r="O18" s="2241"/>
      <c r="P18" s="2241"/>
      <c r="Q18" s="2241"/>
      <c r="R18" s="2241"/>
      <c r="S18" s="2242"/>
      <c r="T18" s="1654">
        <f>'Basis &amp; Credits'!T18</f>
        <v>0</v>
      </c>
      <c r="U18" s="1655"/>
      <c r="V18" s="1655"/>
      <c r="W18" s="1655"/>
      <c r="X18" s="1656"/>
      <c r="Y18" s="1656">
        <f>'Basis &amp; Credits'!Y18</f>
        <v>0</v>
      </c>
      <c r="Z18" s="1650"/>
      <c r="AA18" s="1650"/>
      <c r="AB18" s="1650"/>
      <c r="AC18" s="1650"/>
      <c r="AD18" s="1650">
        <f>'Basis &amp; Credits'!AD18</f>
        <v>0</v>
      </c>
      <c r="AE18" s="1650"/>
      <c r="AF18" s="1650"/>
      <c r="AG18" s="1650"/>
      <c r="AH18" s="1650"/>
      <c r="AI18" s="1650">
        <f>'Basis &amp; Credits'!AI18</f>
        <v>0</v>
      </c>
      <c r="AJ18" s="1650"/>
      <c r="AK18" s="1650"/>
      <c r="AL18" s="1650"/>
      <c r="AM18" s="1650"/>
    </row>
    <row r="19" spans="1:39" ht="13.2">
      <c r="B19" s="768"/>
      <c r="C19" s="1718" t="str">
        <f>'Basis &amp; Credits'!C19:S19</f>
        <v>Subtract (specify other ineligible amounts):</v>
      </c>
      <c r="D19" s="1718"/>
      <c r="E19" s="1718"/>
      <c r="F19" s="1718"/>
      <c r="G19" s="1718"/>
      <c r="H19" s="1718"/>
      <c r="I19" s="1718"/>
      <c r="J19" s="1718"/>
      <c r="K19" s="1718"/>
      <c r="L19" s="1718"/>
      <c r="M19" s="1718"/>
      <c r="N19" s="1718"/>
      <c r="O19" s="1718"/>
      <c r="P19" s="1718"/>
      <c r="Q19" s="1718"/>
      <c r="R19" s="1718"/>
      <c r="S19" s="1719"/>
      <c r="T19" s="1656">
        <f>'Basis &amp; Credits'!T19</f>
        <v>0</v>
      </c>
      <c r="U19" s="1650"/>
      <c r="V19" s="1650"/>
      <c r="W19" s="1650"/>
      <c r="X19" s="1650"/>
      <c r="Y19" s="1656">
        <f>'Basis &amp; Credits'!Y19</f>
        <v>0</v>
      </c>
      <c r="Z19" s="1650"/>
      <c r="AA19" s="1650"/>
      <c r="AB19" s="1650"/>
      <c r="AC19" s="1650"/>
      <c r="AD19" s="1650">
        <f>'Basis &amp; Credits'!AD19</f>
        <v>0</v>
      </c>
      <c r="AE19" s="1650"/>
      <c r="AF19" s="1650"/>
      <c r="AG19" s="1650"/>
      <c r="AH19" s="1650"/>
      <c r="AI19" s="1650">
        <f>'Basis &amp; Credits'!AI19</f>
        <v>0</v>
      </c>
      <c r="AJ19" s="1650"/>
      <c r="AK19" s="1650"/>
      <c r="AL19" s="1650"/>
      <c r="AM19" s="1650"/>
    </row>
    <row r="20" spans="1:39" ht="13.2">
      <c r="B20" s="2207" t="s">
        <v>844</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3.2">
      <c r="B21" s="2207" t="s">
        <v>1932</v>
      </c>
      <c r="C21" s="2208"/>
      <c r="D21" s="2208"/>
      <c r="E21" s="2208"/>
      <c r="F21" s="2208"/>
      <c r="G21" s="2208"/>
      <c r="H21" s="2208"/>
      <c r="I21" s="2208"/>
      <c r="J21" s="2208"/>
      <c r="K21" s="2208"/>
      <c r="L21" s="2208"/>
      <c r="M21" s="2208"/>
      <c r="N21" s="2208"/>
      <c r="O21" s="2208"/>
      <c r="P21" s="2208"/>
      <c r="Q21" s="2208"/>
      <c r="R21" s="2208"/>
      <c r="S21" s="2209"/>
      <c r="T21" s="1656">
        <f>'Basis &amp; Credits'!T21</f>
        <v>9611000</v>
      </c>
      <c r="U21" s="1650"/>
      <c r="V21" s="1650"/>
      <c r="W21" s="1650"/>
      <c r="X21" s="1650"/>
      <c r="Y21" s="1656">
        <f>'Basis &amp; Credits'!Y21</f>
        <v>0</v>
      </c>
      <c r="Z21" s="1650"/>
      <c r="AA21" s="1650"/>
      <c r="AB21" s="1650"/>
      <c r="AC21" s="1650"/>
      <c r="AD21" s="1650">
        <f>'Basis &amp; Credits'!AD21</f>
        <v>0</v>
      </c>
      <c r="AE21" s="1650"/>
      <c r="AF21" s="1650"/>
      <c r="AG21" s="1650"/>
      <c r="AH21" s="1650"/>
      <c r="AI21" s="1650">
        <f>'Basis &amp; Credits'!AI21</f>
        <v>0</v>
      </c>
      <c r="AJ21" s="1650"/>
      <c r="AK21" s="1650"/>
      <c r="AL21" s="1650"/>
      <c r="AM21" s="1650"/>
    </row>
    <row r="22" spans="1:39" ht="13.2">
      <c r="B22" s="2207" t="s">
        <v>845</v>
      </c>
      <c r="C22" s="2208"/>
      <c r="D22" s="2208"/>
      <c r="E22" s="2208"/>
      <c r="F22" s="2208"/>
      <c r="G22" s="2208"/>
      <c r="H22" s="2208"/>
      <c r="I22" s="2208"/>
      <c r="J22" s="2208"/>
      <c r="K22" s="2208"/>
      <c r="L22" s="2208"/>
      <c r="M22" s="2208"/>
      <c r="N22" s="2208"/>
      <c r="O22" s="2208"/>
      <c r="P22" s="2208"/>
      <c r="Q22" s="2208"/>
      <c r="R22" s="2208"/>
      <c r="S22" s="2209"/>
      <c r="T22" s="2224">
        <f>(T20+T21)*-1</f>
        <v>-9611000</v>
      </c>
      <c r="U22" s="2225"/>
      <c r="V22" s="2225"/>
      <c r="W22" s="2225"/>
      <c r="X22" s="2225"/>
      <c r="Y22" s="2224">
        <f>(Y20+Y21)*-1</f>
        <v>0</v>
      </c>
      <c r="Z22" s="2225"/>
      <c r="AA22" s="2225"/>
      <c r="AB22" s="2225"/>
      <c r="AC22" s="2225"/>
      <c r="AD22" s="2224">
        <f>(AD20+AD21)*-1</f>
        <v>0</v>
      </c>
      <c r="AE22" s="2225"/>
      <c r="AF22" s="2225"/>
      <c r="AG22" s="2225"/>
      <c r="AH22" s="2225"/>
      <c r="AI22" s="2224">
        <f>(AI20+AI21)*-1</f>
        <v>0</v>
      </c>
      <c r="AJ22" s="2225"/>
      <c r="AK22" s="2225"/>
      <c r="AL22" s="2225"/>
      <c r="AM22" s="2225"/>
    </row>
    <row r="23" spans="1:39" ht="13.2">
      <c r="A23" s="2"/>
      <c r="B23" s="2218" t="s">
        <v>846</v>
      </c>
      <c r="C23" s="2219"/>
      <c r="D23" s="2219"/>
      <c r="E23" s="2219"/>
      <c r="F23" s="2219"/>
      <c r="G23" s="2219"/>
      <c r="H23" s="2219"/>
      <c r="I23" s="2219"/>
      <c r="J23" s="2219"/>
      <c r="K23" s="2219"/>
      <c r="L23" s="2219"/>
      <c r="M23" s="2219"/>
      <c r="N23" s="2219"/>
      <c r="O23" s="2219"/>
      <c r="P23" s="2219"/>
      <c r="Q23" s="2219"/>
      <c r="R23" s="2219"/>
      <c r="S23" s="2220"/>
      <c r="T23" s="2223">
        <f>T11+T22</f>
        <v>23786830</v>
      </c>
      <c r="U23" s="2227"/>
      <c r="V23" s="2227"/>
      <c r="W23" s="2227"/>
      <c r="X23" s="2227"/>
      <c r="Y23" s="2223">
        <f>Y11+Y22</f>
        <v>0</v>
      </c>
      <c r="Z23" s="2227"/>
      <c r="AA23" s="2227"/>
      <c r="AB23" s="2227"/>
      <c r="AC23" s="2227"/>
      <c r="AD23" s="2223">
        <f>AD11+AD22</f>
        <v>0</v>
      </c>
      <c r="AE23" s="2227"/>
      <c r="AF23" s="2227"/>
      <c r="AG23" s="2227"/>
      <c r="AH23" s="2227"/>
      <c r="AI23" s="2223">
        <f>AI11+AI22</f>
        <v>0</v>
      </c>
      <c r="AJ23" s="2227"/>
      <c r="AK23" s="2227"/>
      <c r="AL23" s="2227"/>
      <c r="AM23" s="2227"/>
    </row>
    <row r="24" spans="1:39" ht="13.2">
      <c r="B24" s="2207" t="s">
        <v>1350</v>
      </c>
      <c r="C24" s="2208"/>
      <c r="D24" s="2208"/>
      <c r="E24" s="2208"/>
      <c r="F24" s="2208"/>
      <c r="G24" s="2208"/>
      <c r="H24" s="2208"/>
      <c r="I24" s="2208"/>
      <c r="J24" s="2208"/>
      <c r="K24" s="2208"/>
      <c r="L24" s="2208"/>
      <c r="M24" s="2208"/>
      <c r="N24" s="2208"/>
      <c r="O24" s="2208"/>
      <c r="P24" s="2208"/>
      <c r="Q24" s="2208"/>
      <c r="R24" s="2208"/>
      <c r="S24" s="2209"/>
      <c r="T24" s="2221">
        <f>Application!AD991</f>
        <v>0</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3.2">
      <c r="B25" s="2210" t="s">
        <v>1977</v>
      </c>
      <c r="C25" s="2211"/>
      <c r="D25" s="2211"/>
      <c r="E25" s="2211"/>
      <c r="F25" s="2211"/>
      <c r="G25" s="2211"/>
      <c r="H25" s="2211"/>
      <c r="I25" s="2211"/>
      <c r="J25" s="2211"/>
      <c r="K25" s="2211"/>
      <c r="L25" s="2211"/>
      <c r="M25" s="2211"/>
      <c r="N25" s="2211"/>
      <c r="O25" s="2211"/>
      <c r="P25" s="2211"/>
      <c r="Q25" s="2211"/>
      <c r="R25" s="2211"/>
      <c r="S25" s="2212"/>
      <c r="T25" s="2230">
        <v>1</v>
      </c>
      <c r="U25" s="2231"/>
      <c r="V25" s="2231"/>
      <c r="W25" s="2231"/>
      <c r="X25" s="2231"/>
      <c r="Y25" s="2230">
        <v>1</v>
      </c>
      <c r="Z25" s="2231"/>
      <c r="AA25" s="2231"/>
      <c r="AB25" s="2231"/>
      <c r="AC25" s="2232"/>
      <c r="AD25" s="2230">
        <v>1</v>
      </c>
      <c r="AE25" s="2231"/>
      <c r="AF25" s="2231"/>
      <c r="AG25" s="2231"/>
      <c r="AH25" s="2232"/>
      <c r="AI25" s="2230">
        <v>1</v>
      </c>
      <c r="AJ25" s="2231"/>
      <c r="AK25" s="2231"/>
      <c r="AL25" s="2231"/>
      <c r="AM25" s="2232"/>
    </row>
    <row r="26" spans="1:39" ht="13.2">
      <c r="B26" s="2207" t="s">
        <v>847</v>
      </c>
      <c r="C26" s="2208"/>
      <c r="D26" s="2208"/>
      <c r="E26" s="2208"/>
      <c r="F26" s="2208"/>
      <c r="G26" s="2208"/>
      <c r="H26" s="2208"/>
      <c r="I26" s="2208"/>
      <c r="J26" s="2208"/>
      <c r="K26" s="2208"/>
      <c r="L26" s="2208"/>
      <c r="M26" s="2208"/>
      <c r="N26" s="2208"/>
      <c r="O26" s="2208"/>
      <c r="P26" s="2208"/>
      <c r="Q26" s="2208"/>
      <c r="R26" s="2208"/>
      <c r="S26" s="2209"/>
      <c r="T26" s="2228">
        <f>T23*T25</f>
        <v>23786830</v>
      </c>
      <c r="U26" s="2229"/>
      <c r="V26" s="2229"/>
      <c r="W26" s="2229"/>
      <c r="X26" s="2229"/>
      <c r="Y26" s="2228">
        <f>Y23*Y25</f>
        <v>0</v>
      </c>
      <c r="Z26" s="2229"/>
      <c r="AA26" s="2229"/>
      <c r="AB26" s="2229"/>
      <c r="AC26" s="2229"/>
      <c r="AD26" s="2228">
        <f>AD23*AD25</f>
        <v>0</v>
      </c>
      <c r="AE26" s="2229"/>
      <c r="AF26" s="2229"/>
      <c r="AG26" s="2229"/>
      <c r="AH26" s="2229"/>
      <c r="AI26" s="2228">
        <f>AI23*AI25</f>
        <v>0</v>
      </c>
      <c r="AJ26" s="2229"/>
      <c r="AK26" s="2229"/>
      <c r="AL26" s="2229"/>
      <c r="AM26" s="2229"/>
    </row>
    <row r="27" spans="1:39" ht="13.2">
      <c r="A27" s="7"/>
      <c r="B27" s="2213" t="s">
        <v>978</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925</v>
      </c>
      <c r="C28" s="2208"/>
      <c r="D28" s="2208"/>
      <c r="E28" s="2208"/>
      <c r="F28" s="2208"/>
      <c r="G28" s="2208"/>
      <c r="H28" s="2208"/>
      <c r="I28" s="2208"/>
      <c r="J28" s="2208"/>
      <c r="K28" s="2208"/>
      <c r="L28" s="2208"/>
      <c r="M28" s="2208"/>
      <c r="N28" s="2208"/>
      <c r="O28" s="2208"/>
      <c r="P28" s="2208"/>
      <c r="Q28" s="2208"/>
      <c r="R28" s="2208"/>
      <c r="S28" s="2209"/>
      <c r="T28" s="1640">
        <f>IF(ISERROR((T26*T27)),0,(T26*T27))</f>
        <v>23786830</v>
      </c>
      <c r="U28" s="2226"/>
      <c r="V28" s="2226"/>
      <c r="W28" s="2226"/>
      <c r="X28" s="2226"/>
      <c r="Y28" s="1640">
        <f>IF(ISERROR((Y26*Y27)),0,(Y26*Y27))</f>
        <v>0</v>
      </c>
      <c r="Z28" s="2226"/>
      <c r="AA28" s="2226"/>
      <c r="AB28" s="2226"/>
      <c r="AC28" s="2226"/>
      <c r="AD28" s="1640">
        <f>IF(ISERROR((AD26*AD27)),0,(AD26*AD27))</f>
        <v>0</v>
      </c>
      <c r="AE28" s="2226"/>
      <c r="AF28" s="2226"/>
      <c r="AG28" s="2226"/>
      <c r="AH28" s="2226"/>
      <c r="AI28" s="1640">
        <f>IF(ISERROR((AI26*AI27)),0,(AI26*AI27))</f>
        <v>0</v>
      </c>
      <c r="AJ28" s="2226"/>
      <c r="AK28" s="2226"/>
      <c r="AL28" s="2226"/>
      <c r="AM28" s="2226"/>
    </row>
    <row r="29" spans="1:39" ht="13.2">
      <c r="B29" s="2207" t="s">
        <v>689</v>
      </c>
      <c r="C29" s="2208"/>
      <c r="D29" s="2208"/>
      <c r="E29" s="2208"/>
      <c r="F29" s="2208"/>
      <c r="G29" s="2208"/>
      <c r="H29" s="2208"/>
      <c r="I29" s="2208"/>
      <c r="J29" s="2208"/>
      <c r="K29" s="2208"/>
      <c r="L29" s="2208"/>
      <c r="M29" s="2208"/>
      <c r="N29" s="2208"/>
      <c r="O29" s="2208"/>
      <c r="P29" s="2208"/>
      <c r="Q29" s="2208"/>
      <c r="R29" s="2208"/>
      <c r="S29" s="2209"/>
      <c r="T29" s="2221">
        <f>T28+Y28+AD28+AI28</f>
        <v>23786830</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637"/>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77" t="s">
        <v>46</v>
      </c>
      <c r="AE35" s="2277"/>
      <c r="AF35" s="2277"/>
      <c r="AG35" s="2277"/>
      <c r="AH35" s="227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77"/>
      <c r="AE36" s="2277"/>
      <c r="AF36" s="2277"/>
      <c r="AG36" s="2277"/>
      <c r="AH36" s="227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77"/>
      <c r="AE37" s="2277"/>
      <c r="AF37" s="2277"/>
      <c r="AG37" s="2277"/>
      <c r="AH37" s="2277"/>
    </row>
    <row r="38" spans="1:40" ht="12.75" customHeight="1">
      <c r="A38" s="6"/>
      <c r="B38" s="2207" t="s">
        <v>925</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0</v>
      </c>
      <c r="Z38" s="2227"/>
      <c r="AA38" s="2227"/>
      <c r="AB38" s="2227"/>
      <c r="AC38" s="2227"/>
      <c r="AD38" s="2227">
        <f>IF(T24&gt;=(T23+Y23+AD23+AI23),AD28+AI28,0)</f>
        <v>0</v>
      </c>
      <c r="AE38" s="2227"/>
      <c r="AF38" s="2227"/>
      <c r="AG38" s="2227"/>
      <c r="AH38" s="2227"/>
    </row>
    <row r="39" spans="1:40" ht="13.2">
      <c r="B39" s="2207" t="s">
        <v>837</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2">
        <v>0.09</v>
      </c>
      <c r="Z39" s="2282"/>
      <c r="AA39" s="2282"/>
      <c r="AB39" s="2282"/>
      <c r="AC39" s="2282"/>
      <c r="AD39" s="2282">
        <f>'Basis &amp; Credits'!AD39:AH39</f>
        <v>0.04</v>
      </c>
      <c r="AE39" s="2282"/>
      <c r="AF39" s="2282"/>
      <c r="AG39" s="2282"/>
      <c r="AH39" s="2282"/>
    </row>
    <row r="40" spans="1:40"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0</v>
      </c>
      <c r="Z40" s="2227"/>
      <c r="AA40" s="2227"/>
      <c r="AB40" s="2227"/>
      <c r="AC40" s="2227"/>
      <c r="AD40" s="2223">
        <f>ROUND(AD38*AD39,0)</f>
        <v>0</v>
      </c>
      <c r="AE40" s="2227"/>
      <c r="AF40" s="2227"/>
      <c r="AG40" s="2227"/>
      <c r="AH40" s="2227"/>
    </row>
    <row r="41" spans="1:40" ht="13.2">
      <c r="B41" s="2207" t="s">
        <v>683</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3">
        <f>IF((Y40+AD40)&gt;2500000,2500000,Y40+AD40)</f>
        <v>0</v>
      </c>
      <c r="Z41" s="2284"/>
      <c r="AA41" s="2284"/>
      <c r="AB41" s="2284"/>
      <c r="AC41" s="2284"/>
      <c r="AD41" s="2284"/>
      <c r="AE41" s="2284"/>
      <c r="AF41" s="2284"/>
      <c r="AG41" s="2284"/>
      <c r="AH41" s="2285"/>
    </row>
    <row r="42" spans="1:40" ht="12.75" customHeight="1">
      <c r="A42" s="6"/>
      <c r="B42" s="2267" t="s">
        <v>1289</v>
      </c>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71">
        <f>'Sources and Uses Budget'!B104-'Sources and Uses Budget'!$B$15</f>
        <v>38835549</v>
      </c>
      <c r="AC46" s="2272"/>
      <c r="AD46" s="2272"/>
      <c r="AE46" s="2272"/>
      <c r="AF46" s="2273"/>
    </row>
    <row r="47" spans="1:40" ht="12.75" customHeight="1">
      <c r="D47" s="6" t="s">
        <v>919</v>
      </c>
      <c r="AB47" s="2271">
        <f>Application!AG642-MIN('Sources and Uses Budget'!B15,Application!AG385)</f>
        <v>0</v>
      </c>
      <c r="AC47" s="2272"/>
      <c r="AD47" s="2272"/>
      <c r="AE47" s="2272"/>
      <c r="AF47" s="2273"/>
    </row>
    <row r="48" spans="1:40" ht="13.2">
      <c r="D48" s="6" t="s">
        <v>422</v>
      </c>
      <c r="AB48" s="2271">
        <f>AB46-AB47</f>
        <v>38835549</v>
      </c>
      <c r="AC48" s="2272"/>
      <c r="AD48" s="2272"/>
      <c r="AE48" s="2272"/>
      <c r="AF48" s="2273"/>
    </row>
    <row r="49" spans="1:40" ht="13.2">
      <c r="D49" s="6" t="s">
        <v>958</v>
      </c>
      <c r="X49" s="2"/>
      <c r="Y49" s="2"/>
      <c r="Z49" s="2"/>
      <c r="AA49" s="409"/>
      <c r="AB49" s="2261"/>
      <c r="AC49" s="2262"/>
      <c r="AD49" s="2262"/>
      <c r="AE49" s="2262"/>
      <c r="AF49" s="2263"/>
    </row>
    <row r="50" spans="1:40" s="515" customFormat="1" ht="15" customHeight="1">
      <c r="A50" s="2"/>
      <c r="B50" s="2"/>
      <c r="C50" s="2"/>
      <c r="D50" s="272"/>
      <c r="E50" s="2274" t="s">
        <v>1507</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78"/>
      <c r="AB50" s="778"/>
      <c r="AC50" s="778"/>
      <c r="AD50" s="778"/>
      <c r="AE50" s="778"/>
      <c r="AF50" s="778"/>
      <c r="AG50" s="2"/>
      <c r="AH50" s="2"/>
      <c r="AI50" s="2"/>
      <c r="AJ50" s="2"/>
      <c r="AK50" s="2"/>
      <c r="AL50" s="2"/>
      <c r="AM50" s="2"/>
      <c r="AN50" s="2"/>
    </row>
    <row r="51" spans="1:40" s="515"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1">
        <f>ROUND(IF(ISERROR((AB48/AB49)),0,(AB48/AB49)),0)</f>
        <v>0</v>
      </c>
      <c r="AC53" s="2272"/>
      <c r="AD53" s="2272"/>
      <c r="AE53" s="2272"/>
      <c r="AF53" s="2273"/>
    </row>
    <row r="54" spans="1:40" ht="12.75" customHeight="1">
      <c r="D54" s="6" t="s">
        <v>621</v>
      </c>
      <c r="AB54" s="2271">
        <f>(AB53/10)</f>
        <v>0</v>
      </c>
      <c r="AC54" s="2272"/>
      <c r="AD54" s="2272"/>
      <c r="AE54" s="2272"/>
      <c r="AF54" s="2273"/>
    </row>
    <row r="55" spans="1:40" ht="13.2">
      <c r="D55" s="6" t="s">
        <v>379</v>
      </c>
      <c r="AB55" s="2268">
        <f>(IF((Y41&lt;AB54),Y41,AB54))</f>
        <v>0</v>
      </c>
      <c r="AC55" s="2269"/>
      <c r="AD55" s="2269"/>
      <c r="AE55" s="2269"/>
      <c r="AF55" s="2270"/>
    </row>
    <row r="56" spans="1:40" ht="13.2">
      <c r="D56" s="6" t="s">
        <v>118</v>
      </c>
      <c r="AB56" s="2271">
        <f>ROUND((10*AB55*AB49),0)</f>
        <v>0</v>
      </c>
      <c r="AC56" s="2272"/>
      <c r="AD56" s="2272"/>
      <c r="AE56" s="2272"/>
      <c r="AF56" s="22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38835549</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8" t="s">
        <v>1980</v>
      </c>
      <c r="B60" s="2278"/>
      <c r="C60" s="2278"/>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row>
    <row r="61" spans="1:40" ht="13.65" customHeight="1" thickTop="1">
      <c r="A61" s="2280"/>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1" t="s">
        <v>331</v>
      </c>
      <c r="Z62" s="2281"/>
      <c r="AA62" s="2281"/>
      <c r="AB62" s="2281"/>
      <c r="AC62" s="2281"/>
      <c r="AD62" s="2281" t="s">
        <v>46</v>
      </c>
      <c r="AE62" s="2281"/>
      <c r="AF62" s="2281"/>
      <c r="AG62" s="2281"/>
      <c r="AH62" s="2281"/>
      <c r="AI62" s="1"/>
      <c r="AJ62" s="1"/>
      <c r="AK62" s="1"/>
      <c r="AL62" s="1"/>
      <c r="AM62" s="1"/>
      <c r="AN62" s="1"/>
    </row>
    <row r="63" spans="1:40" ht="13.2">
      <c r="C63" s="330"/>
      <c r="D63" s="1262" t="s">
        <v>1376</v>
      </c>
      <c r="E63" s="802"/>
      <c r="F63" s="802"/>
      <c r="G63" s="802"/>
      <c r="H63" s="802"/>
      <c r="I63" s="802"/>
      <c r="J63" s="802"/>
      <c r="K63" s="802"/>
      <c r="L63" s="22"/>
      <c r="M63" s="22"/>
      <c r="N63" s="22"/>
      <c r="O63" s="22"/>
      <c r="P63" s="22"/>
      <c r="Q63" s="22"/>
      <c r="R63" s="22"/>
      <c r="S63" s="22"/>
      <c r="T63" s="22"/>
      <c r="U63" s="22"/>
      <c r="V63" s="22"/>
      <c r="W63" s="22"/>
      <c r="X63" s="22"/>
      <c r="Y63" s="1884">
        <f>Y28</f>
        <v>0</v>
      </c>
      <c r="Z63" s="2264"/>
      <c r="AA63" s="2264"/>
      <c r="AB63" s="2264"/>
      <c r="AC63" s="2264"/>
      <c r="AD63" s="1884">
        <f>AI28</f>
        <v>0</v>
      </c>
      <c r="AE63" s="2264"/>
      <c r="AF63" s="2264"/>
      <c r="AG63" s="2264"/>
      <c r="AH63" s="2264"/>
    </row>
    <row r="64" spans="1:40" ht="15" customHeight="1">
      <c r="C64" s="6"/>
      <c r="E64" s="2279" t="s">
        <v>1427</v>
      </c>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row>
    <row r="65" spans="1:40" ht="24.45" customHeight="1">
      <c r="C65" s="6"/>
      <c r="E65" s="2279"/>
      <c r="F65" s="2279"/>
      <c r="G65" s="2279"/>
      <c r="H65" s="2279"/>
      <c r="I65" s="2279"/>
      <c r="J65" s="2279"/>
      <c r="K65" s="2279"/>
      <c r="L65" s="2279"/>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row>
    <row r="66" spans="1:40" ht="13.2">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260">
        <v>0.3</v>
      </c>
      <c r="Z66" s="2260"/>
      <c r="AA66" s="2260"/>
      <c r="AB66" s="2260"/>
      <c r="AC66" s="2260"/>
      <c r="AD66" s="2260">
        <v>0.13</v>
      </c>
      <c r="AE66" s="2260"/>
      <c r="AF66" s="2260"/>
      <c r="AG66" s="2260"/>
      <c r="AH66" s="2260"/>
    </row>
    <row r="67" spans="1:40" ht="13.2">
      <c r="C67" s="6"/>
      <c r="D67" s="6" t="s">
        <v>1045</v>
      </c>
      <c r="Y67" s="1884">
        <f>ROUND(Y63*Y66,0)</f>
        <v>0</v>
      </c>
      <c r="Z67" s="2264"/>
      <c r="AA67" s="2264"/>
      <c r="AB67" s="2264"/>
      <c r="AC67" s="2264"/>
      <c r="AD67" s="1884" t="str">
        <f>IF(OR(Application!D211="At-Risk",Application!D211="At-Risk/Located in Rural Census Tract",Application!D214="At-Risk"),ROUND(AD63*AD66,0),"$0")</f>
        <v>$0</v>
      </c>
      <c r="AE67" s="2265"/>
      <c r="AF67" s="2265"/>
      <c r="AG67" s="2265"/>
      <c r="AH67" s="2265"/>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1"/>
      <c r="AC70" s="2262"/>
      <c r="AD70" s="2262"/>
      <c r="AE70" s="2262"/>
      <c r="AF70" s="2263"/>
      <c r="AG70" s="2"/>
      <c r="AH70" s="2"/>
      <c r="AI70" s="2"/>
      <c r="AJ70" s="2"/>
      <c r="AK70" s="2"/>
      <c r="AL70" s="2"/>
      <c r="AM70" s="2"/>
      <c r="AN70" s="2"/>
    </row>
    <row r="71" spans="1:40" ht="12.75" customHeight="1">
      <c r="A71" s="330"/>
      <c r="B71" s="2"/>
      <c r="C71" s="330"/>
      <c r="D71" s="330"/>
      <c r="E71" s="2266" t="s">
        <v>1975</v>
      </c>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803"/>
      <c r="AB71" s="803"/>
      <c r="AC71" s="803"/>
      <c r="AG71" s="2"/>
      <c r="AH71" s="2"/>
      <c r="AI71" s="2"/>
      <c r="AJ71" s="2"/>
      <c r="AK71" s="2"/>
      <c r="AL71" s="2"/>
      <c r="AM71" s="2"/>
      <c r="AN71" s="2"/>
    </row>
    <row r="72" spans="1:40" ht="12.75" customHeight="1">
      <c r="A72" s="330"/>
      <c r="B72" s="2"/>
      <c r="C72" s="330"/>
      <c r="D72" s="330"/>
      <c r="E72" s="2266"/>
      <c r="F72" s="2266"/>
      <c r="G72" s="2266"/>
      <c r="H72" s="2266"/>
      <c r="I72" s="2266"/>
      <c r="J72" s="2266"/>
      <c r="K72" s="2266"/>
      <c r="L72" s="2266"/>
      <c r="M72" s="2266"/>
      <c r="N72" s="2266"/>
      <c r="O72" s="2266"/>
      <c r="P72" s="2266"/>
      <c r="Q72" s="2266"/>
      <c r="R72" s="2266"/>
      <c r="S72" s="2266"/>
      <c r="T72" s="2266"/>
      <c r="U72" s="2266"/>
      <c r="V72" s="2266"/>
      <c r="W72" s="2266"/>
      <c r="X72" s="2266"/>
      <c r="Y72" s="2266"/>
      <c r="Z72" s="2266"/>
      <c r="AA72" s="803"/>
      <c r="AB72" s="803"/>
      <c r="AC72" s="803"/>
      <c r="AG72" s="2"/>
      <c r="AH72" s="2"/>
      <c r="AI72" s="2"/>
      <c r="AJ72" s="2"/>
      <c r="AK72" s="2"/>
      <c r="AL72" s="2"/>
      <c r="AM72" s="2"/>
      <c r="AN72" s="2"/>
    </row>
    <row r="73" spans="1:40" ht="12" customHeight="1">
      <c r="A73" s="330"/>
      <c r="B73" s="2"/>
      <c r="C73" s="330"/>
      <c r="D73" s="330"/>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259">
        <f>ROUND(IF(ISERROR((AB58/AB70)),0,(AB58/AB70)),0)</f>
        <v>0</v>
      </c>
      <c r="AC75" s="2259"/>
      <c r="AD75" s="2259"/>
      <c r="AE75" s="2259"/>
      <c r="AF75" s="2259"/>
    </row>
    <row r="76" spans="1:40" ht="12.75" customHeight="1">
      <c r="C76" s="6"/>
      <c r="D76" s="6" t="s">
        <v>116</v>
      </c>
      <c r="AB76" s="2256">
        <f>IF((Y67+AD67&lt;AB75),Y67+AD67,AB75)</f>
        <v>0</v>
      </c>
      <c r="AC76" s="2257"/>
      <c r="AD76" s="2257"/>
      <c r="AE76" s="2257"/>
      <c r="AF76" s="2258"/>
    </row>
    <row r="77" spans="1:40" ht="12.75" customHeight="1">
      <c r="C77" s="6"/>
      <c r="D77" s="6" t="s">
        <v>1046</v>
      </c>
      <c r="AB77" s="2255">
        <f>AB76*AB70</f>
        <v>0</v>
      </c>
      <c r="AC77" s="2255"/>
      <c r="AD77" s="2255"/>
      <c r="AE77" s="2255"/>
      <c r="AF77" s="2255"/>
    </row>
    <row r="78" spans="1:40" ht="12.75" customHeight="1">
      <c r="C78" s="6"/>
      <c r="D78" s="6"/>
      <c r="AB78" s="934"/>
      <c r="AC78" s="934"/>
      <c r="AD78" s="934"/>
      <c r="AE78" s="934"/>
      <c r="AF78" s="934"/>
    </row>
    <row r="79" spans="1:40" ht="12.75" customHeight="1">
      <c r="A79" s="1"/>
      <c r="B79" s="1"/>
      <c r="C79" s="1"/>
      <c r="D79" s="6" t="s">
        <v>117</v>
      </c>
      <c r="AB79" s="2254">
        <f>AB48-(AB56+AB77)</f>
        <v>38835549</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1" t="s">
        <v>1362</v>
      </c>
      <c r="G1" s="899"/>
    </row>
    <row r="2" spans="1:7" ht="13.2">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3.2">
      <c r="A4" s="1488" t="s">
        <v>381</v>
      </c>
      <c r="B4" s="521"/>
      <c r="C4" s="521"/>
      <c r="D4" s="521"/>
      <c r="E4" s="521"/>
      <c r="F4" s="521"/>
      <c r="G4" s="521"/>
    </row>
    <row r="5" spans="1:7" s="902" customFormat="1" ht="13.2">
      <c r="A5" s="1489" t="s">
        <v>1060</v>
      </c>
      <c r="B5" s="523">
        <f>'Sources and Uses Budget'!C4</f>
        <v>3965000</v>
      </c>
      <c r="C5" s="523">
        <f>'Sources and Uses Budget'!C4</f>
        <v>3965000</v>
      </c>
      <c r="D5" s="523">
        <f>'Sources and Uses Budget'!C4</f>
        <v>3965000</v>
      </c>
      <c r="E5" s="525">
        <f>C5-B5</f>
        <v>0</v>
      </c>
      <c r="F5" s="524"/>
      <c r="G5" s="524"/>
    </row>
    <row r="6" spans="1:7" s="902" customFormat="1" ht="13.2">
      <c r="A6" s="1489" t="s">
        <v>1061</v>
      </c>
      <c r="B6" s="523">
        <f>'Sources and Uses Budget'!C5</f>
        <v>0</v>
      </c>
      <c r="C6" s="523">
        <f>'Sources and Uses Budget'!C5</f>
        <v>0</v>
      </c>
      <c r="D6" s="523">
        <f>'Sources and Uses Budget'!C5</f>
        <v>0</v>
      </c>
      <c r="E6" s="525">
        <f t="shared" ref="E6:E73" si="0">C6-B6</f>
        <v>0</v>
      </c>
      <c r="F6" s="524"/>
      <c r="G6" s="524"/>
    </row>
    <row r="7" spans="1:7" s="902" customFormat="1" ht="13.2">
      <c r="A7" s="1489" t="s">
        <v>382</v>
      </c>
      <c r="B7" s="523">
        <f>'Sources and Uses Budget'!C6</f>
        <v>0</v>
      </c>
      <c r="C7" s="523">
        <f>'Sources and Uses Budget'!C6</f>
        <v>0</v>
      </c>
      <c r="D7" s="523">
        <f>'Sources and Uses Budget'!C6</f>
        <v>0</v>
      </c>
      <c r="E7" s="525">
        <f t="shared" si="0"/>
        <v>0</v>
      </c>
      <c r="F7" s="524"/>
      <c r="G7" s="524"/>
    </row>
    <row r="8" spans="1:7" s="902" customFormat="1" ht="13.2">
      <c r="A8" s="1489" t="s">
        <v>310</v>
      </c>
      <c r="B8" s="523">
        <f>'Sources and Uses Budget'!C7</f>
        <v>0</v>
      </c>
      <c r="C8" s="523">
        <f>'Sources and Uses Budget'!C7</f>
        <v>0</v>
      </c>
      <c r="D8" s="523">
        <f>'Sources and Uses Budget'!C7</f>
        <v>0</v>
      </c>
      <c r="E8" s="525">
        <f t="shared" si="0"/>
        <v>0</v>
      </c>
      <c r="F8" s="524"/>
      <c r="G8" s="524"/>
    </row>
    <row r="9" spans="1:7" s="902" customFormat="1" ht="13.2">
      <c r="A9" s="1490" t="s">
        <v>1062</v>
      </c>
      <c r="B9" s="525">
        <f>SUM(B5:B8)</f>
        <v>3965000</v>
      </c>
      <c r="C9" s="525">
        <f>SUM(C5:C8)</f>
        <v>3965000</v>
      </c>
      <c r="D9" s="525">
        <f>SUM(D5:D8)</f>
        <v>3965000</v>
      </c>
      <c r="E9" s="525">
        <f t="shared" si="0"/>
        <v>0</v>
      </c>
      <c r="F9" s="524"/>
      <c r="G9" s="524"/>
    </row>
    <row r="10" spans="1:7" s="902" customFormat="1" ht="13.2">
      <c r="A10" s="1489" t="s">
        <v>645</v>
      </c>
      <c r="B10" s="523">
        <f>'Sources and Uses Budget'!C9</f>
        <v>0</v>
      </c>
      <c r="C10" s="523">
        <f>'Sources and Uses Budget'!C9</f>
        <v>0</v>
      </c>
      <c r="D10" s="523">
        <f>'Sources and Uses Budget'!C9</f>
        <v>0</v>
      </c>
      <c r="E10" s="525">
        <f t="shared" si="0"/>
        <v>0</v>
      </c>
      <c r="F10" s="524"/>
      <c r="G10" s="524"/>
    </row>
    <row r="11" spans="1:7" s="902" customFormat="1" ht="13.2">
      <c r="A11" s="1489" t="s">
        <v>1063</v>
      </c>
      <c r="B11" s="523">
        <f>'Sources and Uses Budget'!C10</f>
        <v>55000</v>
      </c>
      <c r="C11" s="523">
        <f>'Sources and Uses Budget'!C10</f>
        <v>55000</v>
      </c>
      <c r="D11" s="523">
        <f>'Sources and Uses Budget'!C10</f>
        <v>55000</v>
      </c>
      <c r="E11" s="525">
        <f t="shared" si="0"/>
        <v>0</v>
      </c>
      <c r="F11" s="524"/>
      <c r="G11" s="524"/>
    </row>
    <row r="12" spans="1:7" s="902" customFormat="1" ht="13.2">
      <c r="A12" s="1490" t="s">
        <v>646</v>
      </c>
      <c r="B12" s="525">
        <f>SUM(B10:B11)</f>
        <v>55000</v>
      </c>
      <c r="C12" s="525">
        <f>SUM(C10:C11)</f>
        <v>55000</v>
      </c>
      <c r="D12" s="525">
        <f>SUM(D10:D11)</f>
        <v>55000</v>
      </c>
      <c r="E12" s="525">
        <f t="shared" si="0"/>
        <v>0</v>
      </c>
      <c r="F12" s="524"/>
      <c r="G12" s="524"/>
    </row>
    <row r="13" spans="1:7" s="902" customFormat="1" ht="13.2">
      <c r="A13" s="1490" t="s">
        <v>778</v>
      </c>
      <c r="B13" s="525">
        <f>SUM(B9+B12)</f>
        <v>4020000</v>
      </c>
      <c r="C13" s="525">
        <f>SUM(C9+C12)</f>
        <v>4020000</v>
      </c>
      <c r="D13" s="525">
        <f>SUM(D9+D12)</f>
        <v>4020000</v>
      </c>
      <c r="E13" s="525">
        <f t="shared" si="0"/>
        <v>0</v>
      </c>
      <c r="F13" s="524"/>
      <c r="G13" s="524"/>
    </row>
    <row r="14" spans="1:7" s="902" customFormat="1" ht="13.2">
      <c r="A14" s="1491" t="s">
        <v>1229</v>
      </c>
      <c r="B14" s="523">
        <f>'Sources and Uses Budget'!C13</f>
        <v>99782</v>
      </c>
      <c r="C14" s="523">
        <f>'Sources and Uses Budget'!C13</f>
        <v>99782</v>
      </c>
      <c r="D14" s="523">
        <f>'Sources and Uses Budget'!C13</f>
        <v>99782</v>
      </c>
      <c r="E14" s="525">
        <f t="shared" si="0"/>
        <v>0</v>
      </c>
      <c r="F14" s="524"/>
      <c r="G14" s="524"/>
    </row>
    <row r="15" spans="1:7" s="902" customFormat="1" ht="22.8">
      <c r="A15" s="1492" t="s">
        <v>1264</v>
      </c>
      <c r="B15" s="523">
        <f>'Sources and Uses Budget'!C14</f>
        <v>0</v>
      </c>
      <c r="C15" s="523">
        <f>'Sources and Uses Budget'!C14</f>
        <v>0</v>
      </c>
      <c r="D15" s="523">
        <f>'Sources and Uses Budget'!C14</f>
        <v>0</v>
      </c>
      <c r="E15" s="525">
        <f t="shared" si="0"/>
        <v>0</v>
      </c>
      <c r="F15" s="524"/>
      <c r="G15" s="524"/>
    </row>
    <row r="16" spans="1:7" s="902" customFormat="1" ht="13.2">
      <c r="A16" s="1492" t="s">
        <v>1898</v>
      </c>
      <c r="B16" s="523">
        <f>'Sources and Uses Budget'!C15</f>
        <v>0</v>
      </c>
      <c r="C16" s="523">
        <f>'Sources and Uses Budget'!C15</f>
        <v>0</v>
      </c>
      <c r="D16" s="523">
        <f>'Sources and Uses Budget'!C15</f>
        <v>0</v>
      </c>
      <c r="E16" s="525">
        <f t="shared" si="0"/>
        <v>0</v>
      </c>
      <c r="F16" s="524"/>
      <c r="G16" s="524"/>
    </row>
    <row r="17" spans="1:7" s="902" customFormat="1" ht="13.2">
      <c r="A17" s="1488"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2248</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0">
        <f>'Sources and Uses Budget'!C26</f>
        <v>0</v>
      </c>
      <c r="C27" s="1500">
        <f>'Sources and Uses Budget'!C26</f>
        <v>0</v>
      </c>
      <c r="D27" s="1500">
        <f>'Sources and Uses Budget'!C26</f>
        <v>0</v>
      </c>
      <c r="E27" s="525">
        <f t="shared" ref="E27:E28" si="2">C27-B27</f>
        <v>0</v>
      </c>
      <c r="F27" s="524"/>
      <c r="G27" s="524"/>
    </row>
    <row r="28" spans="1:7" s="902" customFormat="1" ht="13.2">
      <c r="A28" s="1493" t="s">
        <v>1021</v>
      </c>
      <c r="B28" s="523">
        <f>'Sources and Uses Budget'!C27</f>
        <v>0</v>
      </c>
      <c r="C28" s="523">
        <f>'Sources and Uses Budget'!C27</f>
        <v>0</v>
      </c>
      <c r="D28" s="523">
        <f>'Sources and Uses Budget'!C27</f>
        <v>0</v>
      </c>
      <c r="E28" s="525">
        <f t="shared" si="2"/>
        <v>0</v>
      </c>
      <c r="F28" s="524"/>
      <c r="G28" s="524"/>
    </row>
    <row r="29" spans="1:7" s="902" customFormat="1" ht="13.2">
      <c r="A29" s="1488" t="s">
        <v>1022</v>
      </c>
      <c r="B29" s="521"/>
      <c r="C29" s="521"/>
      <c r="D29" s="521"/>
      <c r="E29" s="521"/>
      <c r="F29" s="521"/>
      <c r="G29" s="521"/>
    </row>
    <row r="30" spans="1:7" s="902" customFormat="1" ht="13.2">
      <c r="A30" s="369" t="s">
        <v>1014</v>
      </c>
      <c r="B30" s="523">
        <f>'Sources and Uses Budget'!C29</f>
        <v>893100</v>
      </c>
      <c r="C30" s="523">
        <f>'Sources and Uses Budget'!C29</f>
        <v>893100</v>
      </c>
      <c r="D30" s="523">
        <f>'Sources and Uses Budget'!C29</f>
        <v>893100</v>
      </c>
      <c r="E30" s="525">
        <f t="shared" si="0"/>
        <v>0</v>
      </c>
      <c r="F30" s="524"/>
      <c r="G30" s="524"/>
    </row>
    <row r="31" spans="1:7" s="902" customFormat="1" ht="13.2">
      <c r="A31" s="369" t="s">
        <v>1015</v>
      </c>
      <c r="B31" s="523">
        <f>'Sources and Uses Budget'!C30</f>
        <v>21133700</v>
      </c>
      <c r="C31" s="523">
        <f>'Sources and Uses Budget'!C30</f>
        <v>21133700</v>
      </c>
      <c r="D31" s="523">
        <f>'Sources and Uses Budget'!C30</f>
        <v>21133700</v>
      </c>
      <c r="E31" s="525">
        <f t="shared" si="0"/>
        <v>0</v>
      </c>
      <c r="F31" s="524"/>
      <c r="G31" s="524"/>
    </row>
    <row r="32" spans="1:7" s="902" customFormat="1" ht="13.2">
      <c r="A32" s="369" t="s">
        <v>1016</v>
      </c>
      <c r="B32" s="523">
        <f>'Sources and Uses Budget'!C31</f>
        <v>1325508</v>
      </c>
      <c r="C32" s="523">
        <f>'Sources and Uses Budget'!C31</f>
        <v>1325508</v>
      </c>
      <c r="D32" s="523">
        <f>'Sources and Uses Budget'!C31</f>
        <v>1325508</v>
      </c>
      <c r="E32" s="525">
        <f t="shared" si="0"/>
        <v>0</v>
      </c>
      <c r="F32" s="524"/>
      <c r="G32" s="524"/>
    </row>
    <row r="33" spans="1:7" s="902" customFormat="1" ht="13.2">
      <c r="A33" s="369" t="s">
        <v>1017</v>
      </c>
      <c r="B33" s="523">
        <f>'Sources and Uses Budget'!C32</f>
        <v>883672</v>
      </c>
      <c r="C33" s="523">
        <f>'Sources and Uses Budget'!C32</f>
        <v>883672</v>
      </c>
      <c r="D33" s="523">
        <f>'Sources and Uses Budget'!C32</f>
        <v>883672</v>
      </c>
      <c r="E33" s="525">
        <f t="shared" si="0"/>
        <v>0</v>
      </c>
      <c r="F33" s="524"/>
      <c r="G33" s="524"/>
    </row>
    <row r="34" spans="1:7" s="902" customFormat="1" ht="13.2">
      <c r="A34" s="369" t="s">
        <v>1018</v>
      </c>
      <c r="B34" s="523">
        <f>'Sources and Uses Budget'!C33</f>
        <v>883672</v>
      </c>
      <c r="C34" s="523">
        <f>'Sources and Uses Budget'!C33</f>
        <v>883672</v>
      </c>
      <c r="D34" s="523">
        <f>'Sources and Uses Budget'!C33</f>
        <v>883672</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0</v>
      </c>
      <c r="C36" s="523">
        <f>'Sources and Uses Budget'!C35</f>
        <v>0</v>
      </c>
      <c r="D36" s="523">
        <f>'Sources and Uses Budget'!C35</f>
        <v>0</v>
      </c>
      <c r="E36" s="525">
        <f t="shared" si="0"/>
        <v>0</v>
      </c>
      <c r="F36" s="524"/>
      <c r="G36" s="524"/>
    </row>
    <row r="37" spans="1:7" s="902" customFormat="1" ht="13.2">
      <c r="A37" s="722" t="s">
        <v>2248</v>
      </c>
      <c r="B37" s="523">
        <f>'Sources and Uses Budget'!C36</f>
        <v>109000</v>
      </c>
      <c r="C37" s="523">
        <f>'Sources and Uses Budget'!C36</f>
        <v>109000</v>
      </c>
      <c r="D37" s="523">
        <f>'Sources and Uses Budget'!C36</f>
        <v>109000</v>
      </c>
      <c r="E37" s="525">
        <f t="shared" si="0"/>
        <v>0</v>
      </c>
      <c r="F37" s="524"/>
      <c r="G37" s="524"/>
    </row>
    <row r="38" spans="1:7" s="902" customFormat="1" ht="13.2">
      <c r="A38" s="380" t="s">
        <v>592</v>
      </c>
      <c r="B38" s="523">
        <f>'Sources and Uses Budget'!C37</f>
        <v>10000</v>
      </c>
      <c r="C38" s="523">
        <f>'Sources and Uses Budget'!C37</f>
        <v>10000</v>
      </c>
      <c r="D38" s="523">
        <f>'Sources and Uses Budget'!C37</f>
        <v>10000</v>
      </c>
      <c r="E38" s="525">
        <f t="shared" ref="E38:E39" si="3">C38-B38</f>
        <v>0</v>
      </c>
      <c r="F38" s="524"/>
      <c r="G38" s="524"/>
    </row>
    <row r="39" spans="1:7" s="902" customFormat="1" ht="13.2">
      <c r="A39" s="1493" t="s">
        <v>1023</v>
      </c>
      <c r="B39" s="1500">
        <f>'Sources and Uses Budget'!C38</f>
        <v>25238652</v>
      </c>
      <c r="C39" s="1500">
        <f>'Sources and Uses Budget'!C38</f>
        <v>25238652</v>
      </c>
      <c r="D39" s="1500">
        <f>'Sources and Uses Budget'!C38</f>
        <v>25238652</v>
      </c>
      <c r="E39" s="525">
        <f t="shared" si="3"/>
        <v>0</v>
      </c>
      <c r="F39" s="524"/>
      <c r="G39" s="524"/>
    </row>
    <row r="40" spans="1:7" s="902" customFormat="1" ht="13.2">
      <c r="A40" s="1488" t="s">
        <v>1024</v>
      </c>
      <c r="B40" s="521"/>
      <c r="C40" s="521"/>
      <c r="D40" s="521"/>
      <c r="E40" s="521"/>
      <c r="F40" s="521"/>
      <c r="G40" s="521"/>
    </row>
    <row r="41" spans="1:7" s="902" customFormat="1" ht="13.2">
      <c r="A41" s="1494" t="s">
        <v>1025</v>
      </c>
      <c r="B41" s="523">
        <f>'Sources and Uses Budget'!C40</f>
        <v>917654</v>
      </c>
      <c r="C41" s="523">
        <f>'Sources and Uses Budget'!C40</f>
        <v>917654</v>
      </c>
      <c r="D41" s="523">
        <f>'Sources and Uses Budget'!C40</f>
        <v>917654</v>
      </c>
      <c r="E41" s="525">
        <f t="shared" ref="E41:E44" si="4">C41-B41</f>
        <v>0</v>
      </c>
      <c r="F41" s="524"/>
      <c r="G41" s="524"/>
    </row>
    <row r="42" spans="1:7" s="902" customFormat="1" ht="13.2">
      <c r="A42" s="1494" t="s">
        <v>1026</v>
      </c>
      <c r="B42" s="523">
        <f>'Sources and Uses Budget'!C41</f>
        <v>0</v>
      </c>
      <c r="C42" s="523">
        <f>'Sources and Uses Budget'!C41</f>
        <v>0</v>
      </c>
      <c r="D42" s="523">
        <f>'Sources and Uses Budget'!C41</f>
        <v>0</v>
      </c>
      <c r="E42" s="525">
        <f t="shared" si="4"/>
        <v>0</v>
      </c>
      <c r="F42" s="524"/>
      <c r="G42" s="524"/>
    </row>
    <row r="43" spans="1:7" s="902" customFormat="1" ht="12" customHeight="1">
      <c r="A43" s="1493" t="s">
        <v>1027</v>
      </c>
      <c r="B43" s="1500">
        <f>'Sources and Uses Budget'!C42</f>
        <v>917654</v>
      </c>
      <c r="C43" s="1500">
        <f>'Sources and Uses Budget'!C42</f>
        <v>917654</v>
      </c>
      <c r="D43" s="1500">
        <f>'Sources and Uses Budget'!C42</f>
        <v>917654</v>
      </c>
      <c r="E43" s="525">
        <f t="shared" si="4"/>
        <v>0</v>
      </c>
      <c r="F43" s="524"/>
      <c r="G43" s="524"/>
    </row>
    <row r="44" spans="1:7" s="902" customFormat="1" ht="13.2">
      <c r="A44" s="1493" t="s">
        <v>1028</v>
      </c>
      <c r="B44" s="523">
        <f>'Sources and Uses Budget'!C43</f>
        <v>0</v>
      </c>
      <c r="C44" s="523">
        <f>'Sources and Uses Budget'!C43</f>
        <v>0</v>
      </c>
      <c r="D44" s="523">
        <f>'Sources and Uses Budget'!C43</f>
        <v>0</v>
      </c>
      <c r="E44" s="525">
        <f t="shared" si="4"/>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1256417</v>
      </c>
      <c r="C46" s="523">
        <f>'Sources and Uses Budget'!C45</f>
        <v>1256417</v>
      </c>
      <c r="D46" s="523">
        <f>'Sources and Uses Budget'!C45</f>
        <v>1256417</v>
      </c>
      <c r="E46" s="525">
        <f t="shared" si="0"/>
        <v>0</v>
      </c>
      <c r="F46" s="524"/>
      <c r="G46" s="524"/>
    </row>
    <row r="47" spans="1:7" s="902" customFormat="1" ht="13.2">
      <c r="A47" s="369" t="s">
        <v>1031</v>
      </c>
      <c r="B47" s="523">
        <f>'Sources and Uses Budget'!C46</f>
        <v>284371</v>
      </c>
      <c r="C47" s="523">
        <f>'Sources and Uses Budget'!C46</f>
        <v>284371</v>
      </c>
      <c r="D47" s="523">
        <f>'Sources and Uses Budget'!C46</f>
        <v>284371</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251847</v>
      </c>
      <c r="C49" s="523">
        <f>'Sources and Uses Budget'!C48</f>
        <v>251847</v>
      </c>
      <c r="D49" s="523">
        <f>'Sources and Uses Budget'!C48</f>
        <v>251847</v>
      </c>
      <c r="E49" s="525">
        <f t="shared" si="0"/>
        <v>0</v>
      </c>
      <c r="F49" s="524"/>
      <c r="G49" s="524"/>
    </row>
    <row r="50" spans="1:7" s="902" customFormat="1" ht="13.2">
      <c r="A50" s="369" t="s">
        <v>1036</v>
      </c>
      <c r="B50" s="523">
        <f>'Sources and Uses Budget'!C49</f>
        <v>40000</v>
      </c>
      <c r="C50" s="523">
        <f>'Sources and Uses Budget'!C49</f>
        <v>40000</v>
      </c>
      <c r="D50" s="523">
        <f>'Sources and Uses Budget'!C49</f>
        <v>40000</v>
      </c>
      <c r="E50" s="525">
        <f t="shared" si="0"/>
        <v>0</v>
      </c>
      <c r="F50" s="524"/>
      <c r="G50" s="524"/>
    </row>
    <row r="51" spans="1:7" s="902" customFormat="1" ht="13.2">
      <c r="A51" s="369" t="s">
        <v>1034</v>
      </c>
      <c r="B51" s="523">
        <f>'Sources and Uses Budget'!C50</f>
        <v>0</v>
      </c>
      <c r="C51" s="523">
        <f>'Sources and Uses Budget'!C50</f>
        <v>0</v>
      </c>
      <c r="D51" s="523">
        <f>'Sources and Uses Budget'!C50</f>
        <v>0</v>
      </c>
      <c r="E51" s="525">
        <f t="shared" si="0"/>
        <v>0</v>
      </c>
      <c r="F51" s="524"/>
      <c r="G51" s="524"/>
    </row>
    <row r="52" spans="1:7" s="903" customFormat="1" ht="13.2">
      <c r="A52" s="369" t="s">
        <v>1035</v>
      </c>
      <c r="B52" s="523">
        <f>'Sources and Uses Budget'!C51</f>
        <v>440731</v>
      </c>
      <c r="C52" s="523">
        <f>'Sources and Uses Budget'!C51</f>
        <v>440731</v>
      </c>
      <c r="D52" s="523">
        <f>'Sources and Uses Budget'!C51</f>
        <v>440731</v>
      </c>
      <c r="E52" s="525">
        <f t="shared" si="0"/>
        <v>0</v>
      </c>
      <c r="F52" s="524"/>
      <c r="G52" s="524"/>
    </row>
    <row r="53" spans="1:7" s="902" customFormat="1" ht="13.2">
      <c r="A53" s="376" t="s">
        <v>592</v>
      </c>
      <c r="B53" s="523">
        <f>'Sources and Uses Budget'!C52</f>
        <v>0</v>
      </c>
      <c r="C53" s="523">
        <f>'Sources and Uses Budget'!C52</f>
        <v>0</v>
      </c>
      <c r="D53" s="523">
        <f>'Sources and Uses Budget'!C52</f>
        <v>0</v>
      </c>
      <c r="E53" s="525">
        <f t="shared" si="0"/>
        <v>0</v>
      </c>
      <c r="F53" s="524"/>
      <c r="G53" s="524"/>
    </row>
    <row r="54" spans="1:7" s="902" customFormat="1" ht="13.2">
      <c r="A54" s="373" t="s">
        <v>1037</v>
      </c>
      <c r="B54" s="1500">
        <f>'Sources and Uses Budget'!C53</f>
        <v>2273366</v>
      </c>
      <c r="C54" s="1500">
        <f>'Sources and Uses Budget'!C53</f>
        <v>2273366</v>
      </c>
      <c r="D54" s="1500">
        <f>'Sources and Uses Budget'!C53</f>
        <v>2273366</v>
      </c>
      <c r="E54" s="525">
        <f t="shared" si="0"/>
        <v>0</v>
      </c>
      <c r="F54" s="524"/>
      <c r="G54" s="524"/>
    </row>
    <row r="55" spans="1:7" s="902" customFormat="1" ht="12" customHeight="1">
      <c r="A55" s="1488" t="s">
        <v>749</v>
      </c>
      <c r="B55" s="521"/>
      <c r="C55" s="521"/>
      <c r="D55" s="521"/>
      <c r="E55" s="521"/>
      <c r="F55" s="521"/>
      <c r="G55" s="521"/>
    </row>
    <row r="56" spans="1:7" s="902" customFormat="1" ht="13.2">
      <c r="A56" s="1494" t="s">
        <v>1038</v>
      </c>
      <c r="B56" s="523">
        <f>'Sources and Uses Budget'!C55</f>
        <v>84074</v>
      </c>
      <c r="C56" s="523">
        <f>'Sources and Uses Budget'!C55</f>
        <v>84074</v>
      </c>
      <c r="D56" s="523">
        <f>'Sources and Uses Budget'!C55</f>
        <v>84074</v>
      </c>
      <c r="E56" s="525">
        <f t="shared" si="0"/>
        <v>0</v>
      </c>
      <c r="F56" s="524"/>
      <c r="G56" s="524"/>
    </row>
    <row r="57" spans="1:7" s="902" customFormat="1" ht="13.2">
      <c r="A57" s="1494" t="s">
        <v>1032</v>
      </c>
      <c r="B57" s="523">
        <f>'Sources and Uses Budget'!C56</f>
        <v>0</v>
      </c>
      <c r="C57" s="523">
        <f>'Sources and Uses Budget'!C56</f>
        <v>0</v>
      </c>
      <c r="D57" s="523">
        <f>'Sources and Uses Budget'!C56</f>
        <v>0</v>
      </c>
      <c r="E57" s="525">
        <f t="shared" si="0"/>
        <v>0</v>
      </c>
      <c r="F57" s="524"/>
      <c r="G57" s="524"/>
    </row>
    <row r="58" spans="1:7" s="902" customFormat="1" ht="13.2">
      <c r="A58" s="1494" t="s">
        <v>1036</v>
      </c>
      <c r="B58" s="523">
        <f>'Sources and Uses Budget'!C57</f>
        <v>20000</v>
      </c>
      <c r="C58" s="523">
        <f>'Sources and Uses Budget'!C57</f>
        <v>20000</v>
      </c>
      <c r="D58" s="523">
        <f>'Sources and Uses Budget'!C57</f>
        <v>20000</v>
      </c>
      <c r="E58" s="525">
        <f t="shared" si="0"/>
        <v>0</v>
      </c>
      <c r="F58" s="524"/>
      <c r="G58" s="524"/>
    </row>
    <row r="59" spans="1:7" s="902" customFormat="1" ht="13.2">
      <c r="A59" s="1494" t="s">
        <v>1034</v>
      </c>
      <c r="B59" s="523">
        <f>'Sources and Uses Budget'!C58</f>
        <v>0</v>
      </c>
      <c r="C59" s="523">
        <f>'Sources and Uses Budget'!C58</f>
        <v>0</v>
      </c>
      <c r="D59" s="523">
        <f>'Sources and Uses Budget'!C58</f>
        <v>0</v>
      </c>
      <c r="E59" s="525">
        <f t="shared" si="0"/>
        <v>0</v>
      </c>
      <c r="F59" s="524"/>
      <c r="G59" s="524"/>
    </row>
    <row r="60" spans="1:7" s="902" customFormat="1" ht="13.2">
      <c r="A60" s="1494" t="s">
        <v>1035</v>
      </c>
      <c r="B60" s="523">
        <f>'Sources and Uses Budget'!C59</f>
        <v>0</v>
      </c>
      <c r="C60" s="523">
        <f>'Sources and Uses Budget'!C59</f>
        <v>0</v>
      </c>
      <c r="D60" s="523">
        <f>'Sources and Uses Budget'!C59</f>
        <v>0</v>
      </c>
      <c r="E60" s="525">
        <f t="shared" si="0"/>
        <v>0</v>
      </c>
      <c r="F60" s="524"/>
      <c r="G60" s="524"/>
    </row>
    <row r="61" spans="1:7" s="902" customFormat="1" ht="13.95" customHeight="1">
      <c r="A61" s="1495" t="s">
        <v>592</v>
      </c>
      <c r="B61" s="523">
        <f>'Sources and Uses Budget'!C60</f>
        <v>0</v>
      </c>
      <c r="C61" s="523">
        <f>'Sources and Uses Budget'!C60</f>
        <v>0</v>
      </c>
      <c r="D61" s="523">
        <f>'Sources and Uses Budget'!C60</f>
        <v>0</v>
      </c>
      <c r="E61" s="525">
        <f t="shared" si="0"/>
        <v>0</v>
      </c>
      <c r="F61" s="524"/>
      <c r="G61" s="524"/>
    </row>
    <row r="62" spans="1:7" s="902" customFormat="1" ht="13.2">
      <c r="A62" s="1493" t="s">
        <v>549</v>
      </c>
      <c r="B62" s="1500">
        <f>'Sources and Uses Budget'!C61</f>
        <v>104074</v>
      </c>
      <c r="C62" s="1500">
        <f>'Sources and Uses Budget'!C61</f>
        <v>104074</v>
      </c>
      <c r="D62" s="1500">
        <f>'Sources and Uses Budget'!C61</f>
        <v>104074</v>
      </c>
      <c r="E62" s="525">
        <f t="shared" si="0"/>
        <v>0</v>
      </c>
      <c r="F62" s="524"/>
      <c r="G62" s="524"/>
    </row>
    <row r="63" spans="1:7" s="902" customFormat="1" ht="13.2">
      <c r="A63" s="1496" t="s">
        <v>550</v>
      </c>
      <c r="B63" s="1500">
        <f>'Sources and Uses Budget'!C62</f>
        <v>32653528</v>
      </c>
      <c r="C63" s="1500">
        <f>'Sources and Uses Budget'!C62</f>
        <v>32653528</v>
      </c>
      <c r="D63" s="1500">
        <f>'Sources and Uses Budget'!C62</f>
        <v>32653528</v>
      </c>
      <c r="E63" s="525">
        <f t="shared" si="0"/>
        <v>0</v>
      </c>
      <c r="F63" s="524"/>
      <c r="G63" s="524"/>
    </row>
    <row r="64" spans="1:7" s="902" customFormat="1" ht="22.8">
      <c r="A64" s="365" t="s">
        <v>2249</v>
      </c>
      <c r="B64" s="521"/>
      <c r="C64" s="521"/>
      <c r="D64" s="521"/>
      <c r="E64" s="521"/>
      <c r="F64" s="521"/>
      <c r="G64" s="521"/>
    </row>
    <row r="65" spans="1:7" s="902" customFormat="1" ht="13.2">
      <c r="A65" s="369" t="s">
        <v>312</v>
      </c>
      <c r="B65" s="523">
        <f>'Sources and Uses Budget'!C64</f>
        <v>0</v>
      </c>
      <c r="C65" s="523">
        <f>'Sources and Uses Budget'!C64</f>
        <v>0</v>
      </c>
      <c r="D65" s="523">
        <f>'Sources and Uses Budget'!C64</f>
        <v>0</v>
      </c>
      <c r="E65" s="525">
        <f t="shared" si="0"/>
        <v>0</v>
      </c>
      <c r="F65" s="524"/>
      <c r="G65" s="524"/>
    </row>
    <row r="66" spans="1:7" s="902" customFormat="1" ht="22.8">
      <c r="A66" s="369" t="s">
        <v>2250</v>
      </c>
      <c r="B66" s="523">
        <f>'Sources and Uses Budget'!C65</f>
        <v>100000</v>
      </c>
      <c r="C66" s="523">
        <f>'Sources and Uses Budget'!C65</f>
        <v>100000</v>
      </c>
      <c r="D66" s="523">
        <f>'Sources and Uses Budget'!C65</f>
        <v>100000</v>
      </c>
      <c r="E66" s="525">
        <f t="shared" si="0"/>
        <v>0</v>
      </c>
      <c r="F66" s="524"/>
      <c r="G66" s="524"/>
    </row>
    <row r="67" spans="1:7" s="902" customFormat="1" ht="22.8">
      <c r="A67" s="369" t="s">
        <v>2251</v>
      </c>
      <c r="B67" s="523">
        <f>'Sources and Uses Budget'!C66</f>
        <v>0</v>
      </c>
      <c r="C67" s="523">
        <f>'Sources and Uses Budget'!C66</f>
        <v>0</v>
      </c>
      <c r="D67" s="523">
        <f>'Sources and Uses Budget'!C66</f>
        <v>0</v>
      </c>
      <c r="E67" s="525">
        <f t="shared" si="0"/>
        <v>0</v>
      </c>
      <c r="F67" s="524"/>
      <c r="G67" s="524"/>
    </row>
    <row r="68" spans="1:7" s="902" customFormat="1" ht="13.2">
      <c r="A68" s="369" t="s">
        <v>2252</v>
      </c>
      <c r="B68" s="523">
        <f>'Sources and Uses Budget'!C67</f>
        <v>0</v>
      </c>
      <c r="C68" s="523">
        <f>'Sources and Uses Budget'!C67</f>
        <v>0</v>
      </c>
      <c r="D68" s="523">
        <f>'Sources and Uses Budget'!C67</f>
        <v>0</v>
      </c>
      <c r="E68" s="525">
        <f t="shared" si="0"/>
        <v>0</v>
      </c>
      <c r="F68" s="524"/>
      <c r="G68" s="524"/>
    </row>
    <row r="69" spans="1:7" s="902" customFormat="1" ht="13.2">
      <c r="A69" s="380" t="s">
        <v>2321</v>
      </c>
      <c r="B69" s="523">
        <f>'Sources and Uses Budget'!C68</f>
        <v>192805</v>
      </c>
      <c r="C69" s="523">
        <f>'Sources and Uses Budget'!C68</f>
        <v>192805</v>
      </c>
      <c r="D69" s="523">
        <f>'Sources and Uses Budget'!C68</f>
        <v>192805</v>
      </c>
      <c r="E69" s="525">
        <f t="shared" si="0"/>
        <v>0</v>
      </c>
      <c r="F69" s="524"/>
      <c r="G69" s="524"/>
    </row>
    <row r="70" spans="1:7" s="902" customFormat="1" ht="13.2">
      <c r="A70" s="373" t="s">
        <v>2253</v>
      </c>
      <c r="B70" s="1500">
        <f>'Sources and Uses Budget'!C69</f>
        <v>292805</v>
      </c>
      <c r="C70" s="1500">
        <f>'Sources and Uses Budget'!C69</f>
        <v>292805</v>
      </c>
      <c r="D70" s="1500">
        <f>'Sources and Uses Budget'!C69</f>
        <v>292805</v>
      </c>
      <c r="E70" s="525">
        <f t="shared" si="0"/>
        <v>0</v>
      </c>
      <c r="F70" s="524"/>
      <c r="G70" s="524"/>
    </row>
    <row r="71" spans="1:7" s="902" customFormat="1" ht="13.2">
      <c r="A71" s="1488" t="s">
        <v>313</v>
      </c>
      <c r="B71" s="521"/>
      <c r="C71" s="521"/>
      <c r="D71" s="521"/>
      <c r="E71" s="521"/>
      <c r="F71" s="521"/>
      <c r="G71" s="521"/>
    </row>
    <row r="72" spans="1:7" s="902" customFormat="1" ht="13.2">
      <c r="A72" s="1494" t="s">
        <v>314</v>
      </c>
      <c r="B72" s="523">
        <f>'Sources and Uses Budget'!C71</f>
        <v>0</v>
      </c>
      <c r="C72" s="523">
        <f>'Sources and Uses Budget'!C71</f>
        <v>0</v>
      </c>
      <c r="D72" s="523">
        <f>'Sources and Uses Budget'!C71</f>
        <v>0</v>
      </c>
      <c r="E72" s="525">
        <f t="shared" si="0"/>
        <v>0</v>
      </c>
      <c r="F72" s="524"/>
      <c r="G72" s="524"/>
    </row>
    <row r="73" spans="1:7" s="902" customFormat="1" ht="13.2">
      <c r="A73" s="1494" t="s">
        <v>315</v>
      </c>
      <c r="B73" s="523">
        <f>'Sources and Uses Budget'!C72</f>
        <v>0</v>
      </c>
      <c r="C73" s="523">
        <f>'Sources and Uses Budget'!C72</f>
        <v>0</v>
      </c>
      <c r="D73" s="523">
        <f>'Sources and Uses Budget'!C72</f>
        <v>0</v>
      </c>
      <c r="E73" s="525">
        <f t="shared" si="0"/>
        <v>0</v>
      </c>
      <c r="F73" s="524"/>
      <c r="G73" s="524"/>
    </row>
    <row r="74" spans="1:7" s="902" customFormat="1" ht="13.2">
      <c r="A74" s="1497" t="s">
        <v>1374</v>
      </c>
      <c r="B74" s="523">
        <f>'Sources and Uses Budget'!C73</f>
        <v>0</v>
      </c>
      <c r="C74" s="523">
        <f>'Sources and Uses Budget'!C73</f>
        <v>0</v>
      </c>
      <c r="D74" s="523">
        <f>'Sources and Uses Budget'!C73</f>
        <v>0</v>
      </c>
      <c r="E74" s="525">
        <f t="shared" ref="E74:E77" si="5">C74-B74</f>
        <v>0</v>
      </c>
      <c r="F74" s="524"/>
      <c r="G74" s="524"/>
    </row>
    <row r="75" spans="1:7" s="902" customFormat="1" ht="13.2">
      <c r="A75" s="1494" t="s">
        <v>316</v>
      </c>
      <c r="B75" s="523">
        <f>'Sources and Uses Budget'!C74</f>
        <v>285409</v>
      </c>
      <c r="C75" s="523">
        <f>'Sources and Uses Budget'!C74</f>
        <v>285409</v>
      </c>
      <c r="D75" s="523">
        <f>'Sources and Uses Budget'!C74</f>
        <v>285409</v>
      </c>
      <c r="E75" s="525">
        <f t="shared" si="5"/>
        <v>0</v>
      </c>
      <c r="F75" s="524"/>
      <c r="G75" s="524"/>
    </row>
    <row r="76" spans="1:7" s="902" customFormat="1" ht="13.2">
      <c r="A76" s="1498" t="s">
        <v>592</v>
      </c>
      <c r="B76" s="523">
        <f>'Sources and Uses Budget'!C75</f>
        <v>0</v>
      </c>
      <c r="C76" s="523">
        <f>'Sources and Uses Budget'!C75</f>
        <v>0</v>
      </c>
      <c r="D76" s="523">
        <f>'Sources and Uses Budget'!C75</f>
        <v>0</v>
      </c>
      <c r="E76" s="525">
        <f t="shared" si="5"/>
        <v>0</v>
      </c>
      <c r="F76" s="524"/>
      <c r="G76" s="524"/>
    </row>
    <row r="77" spans="1:7" s="902" customFormat="1" ht="13.2">
      <c r="A77" s="1493" t="s">
        <v>317</v>
      </c>
      <c r="B77" s="1500">
        <f>'Sources and Uses Budget'!C76</f>
        <v>285409</v>
      </c>
      <c r="C77" s="1500">
        <f>'Sources and Uses Budget'!C76</f>
        <v>285409</v>
      </c>
      <c r="D77" s="1500">
        <f>'Sources and Uses Budget'!C76</f>
        <v>285409</v>
      </c>
      <c r="E77" s="525">
        <f t="shared" si="5"/>
        <v>0</v>
      </c>
      <c r="F77" s="524"/>
      <c r="G77" s="524"/>
    </row>
    <row r="78" spans="1:7" s="902" customFormat="1" ht="13.2">
      <c r="A78" s="1488" t="s">
        <v>1973</v>
      </c>
      <c r="B78" s="521"/>
      <c r="C78" s="521"/>
      <c r="D78" s="521"/>
      <c r="E78" s="521"/>
      <c r="F78" s="521"/>
      <c r="G78" s="521"/>
    </row>
    <row r="79" spans="1:7" s="902" customFormat="1" ht="13.95" customHeight="1">
      <c r="A79" s="1494" t="s">
        <v>1971</v>
      </c>
      <c r="B79" s="523">
        <f>'Sources and Uses Budget'!C78</f>
        <v>1271825</v>
      </c>
      <c r="C79" s="523">
        <f>'Sources and Uses Budget'!C78</f>
        <v>1271825</v>
      </c>
      <c r="D79" s="523">
        <f>'Sources and Uses Budget'!C78</f>
        <v>1271825</v>
      </c>
      <c r="E79" s="525">
        <f t="shared" ref="E79:E105" si="6">C79-B79</f>
        <v>0</v>
      </c>
      <c r="F79" s="524"/>
      <c r="G79" s="524"/>
    </row>
    <row r="80" spans="1:7" s="902" customFormat="1" ht="13.2">
      <c r="A80" s="1494" t="s">
        <v>597</v>
      </c>
      <c r="B80" s="523">
        <f>'Sources and Uses Budget'!C79</f>
        <v>250000</v>
      </c>
      <c r="C80" s="523">
        <f>'Sources and Uses Budget'!C79</f>
        <v>250000</v>
      </c>
      <c r="D80" s="523">
        <f>'Sources and Uses Budget'!C79</f>
        <v>250000</v>
      </c>
      <c r="E80" s="525">
        <f t="shared" si="6"/>
        <v>0</v>
      </c>
      <c r="F80" s="524"/>
      <c r="G80" s="524"/>
    </row>
    <row r="81" spans="1:7" s="902" customFormat="1" ht="13.2">
      <c r="A81" s="1493" t="s">
        <v>1972</v>
      </c>
      <c r="B81" s="1500">
        <f>'Sources and Uses Budget'!C80</f>
        <v>1521825</v>
      </c>
      <c r="C81" s="1500">
        <f>'Sources and Uses Budget'!C80</f>
        <v>1521825</v>
      </c>
      <c r="D81" s="1500">
        <f>'Sources and Uses Budget'!C80</f>
        <v>1521825</v>
      </c>
      <c r="E81" s="525">
        <f t="shared" si="6"/>
        <v>0</v>
      </c>
      <c r="F81" s="524"/>
      <c r="G81" s="524"/>
    </row>
    <row r="82" spans="1:7" s="902" customFormat="1" ht="13.2">
      <c r="A82" s="1488" t="s">
        <v>573</v>
      </c>
      <c r="B82" s="521"/>
      <c r="C82" s="521"/>
      <c r="D82" s="521"/>
      <c r="E82" s="521"/>
      <c r="F82" s="521"/>
      <c r="G82" s="521"/>
    </row>
    <row r="83" spans="1:7" s="902" customFormat="1" ht="13.2">
      <c r="A83" s="369" t="s">
        <v>574</v>
      </c>
      <c r="B83" s="523">
        <f>'Sources and Uses Budget'!C82</f>
        <v>113053</v>
      </c>
      <c r="C83" s="523">
        <f>'Sources and Uses Budget'!C82</f>
        <v>113053</v>
      </c>
      <c r="D83" s="523">
        <f>'Sources and Uses Budget'!C82</f>
        <v>113053</v>
      </c>
      <c r="E83" s="525">
        <f t="shared" si="6"/>
        <v>0</v>
      </c>
      <c r="F83" s="524"/>
      <c r="G83" s="524"/>
    </row>
    <row r="84" spans="1:7" s="902" customFormat="1" ht="13.2">
      <c r="A84" s="369" t="s">
        <v>575</v>
      </c>
      <c r="B84" s="523">
        <f>'Sources and Uses Budget'!C83</f>
        <v>0</v>
      </c>
      <c r="C84" s="523">
        <f>'Sources and Uses Budget'!C83</f>
        <v>0</v>
      </c>
      <c r="D84" s="523">
        <f>'Sources and Uses Budget'!C83</f>
        <v>0</v>
      </c>
      <c r="E84" s="525">
        <f t="shared" si="6"/>
        <v>0</v>
      </c>
      <c r="F84" s="524"/>
      <c r="G84" s="524"/>
    </row>
    <row r="85" spans="1:7" s="902" customFormat="1" ht="13.2">
      <c r="A85" s="369" t="s">
        <v>576</v>
      </c>
      <c r="B85" s="523">
        <f>'Sources and Uses Budget'!C84</f>
        <v>1225051</v>
      </c>
      <c r="C85" s="523">
        <f>'Sources and Uses Budget'!C84</f>
        <v>1225051</v>
      </c>
      <c r="D85" s="523">
        <f>'Sources and Uses Budget'!C84</f>
        <v>1225051</v>
      </c>
      <c r="E85" s="525">
        <f t="shared" si="6"/>
        <v>0</v>
      </c>
      <c r="F85" s="524"/>
      <c r="G85" s="524"/>
    </row>
    <row r="86" spans="1:7" s="902" customFormat="1" ht="13.2">
      <c r="A86" s="369" t="s">
        <v>577</v>
      </c>
      <c r="B86" s="523">
        <f>'Sources and Uses Budget'!C85</f>
        <v>390128</v>
      </c>
      <c r="C86" s="523">
        <f>'Sources and Uses Budget'!C85</f>
        <v>390128</v>
      </c>
      <c r="D86" s="523">
        <f>'Sources and Uses Budget'!C85</f>
        <v>390128</v>
      </c>
      <c r="E86" s="525">
        <f t="shared" si="6"/>
        <v>0</v>
      </c>
      <c r="F86" s="524"/>
      <c r="G86" s="524"/>
    </row>
    <row r="87" spans="1:7" s="902" customFormat="1" ht="13.2">
      <c r="A87" s="369" t="s">
        <v>578</v>
      </c>
      <c r="B87" s="523">
        <f>'Sources and Uses Budget'!C86</f>
        <v>0</v>
      </c>
      <c r="C87" s="523">
        <f>'Sources and Uses Budget'!C86</f>
        <v>0</v>
      </c>
      <c r="D87" s="523">
        <f>'Sources and Uses Budget'!C86</f>
        <v>0</v>
      </c>
      <c r="E87" s="525">
        <f t="shared" si="6"/>
        <v>0</v>
      </c>
      <c r="F87" s="524"/>
      <c r="G87" s="524"/>
    </row>
    <row r="88" spans="1:7" s="902" customFormat="1" ht="13.2">
      <c r="A88" s="369" t="s">
        <v>579</v>
      </c>
      <c r="B88" s="523">
        <f>'Sources and Uses Budget'!C87</f>
        <v>20000</v>
      </c>
      <c r="C88" s="523">
        <f>'Sources and Uses Budget'!C87</f>
        <v>20000</v>
      </c>
      <c r="D88" s="523">
        <f>'Sources and Uses Budget'!C87</f>
        <v>20000</v>
      </c>
      <c r="E88" s="525">
        <f t="shared" si="6"/>
        <v>0</v>
      </c>
      <c r="F88" s="524"/>
      <c r="G88" s="524"/>
    </row>
    <row r="89" spans="1:7" s="902" customFormat="1" ht="13.2">
      <c r="A89" s="369" t="s">
        <v>580</v>
      </c>
      <c r="B89" s="523">
        <f>'Sources and Uses Budget'!C88</f>
        <v>141000</v>
      </c>
      <c r="C89" s="523">
        <f>'Sources and Uses Budget'!C88</f>
        <v>141000</v>
      </c>
      <c r="D89" s="523">
        <f>'Sources and Uses Budget'!C88</f>
        <v>141000</v>
      </c>
      <c r="E89" s="525">
        <f t="shared" si="6"/>
        <v>0</v>
      </c>
      <c r="F89" s="524"/>
      <c r="G89" s="524"/>
    </row>
    <row r="90" spans="1:7" s="902" customFormat="1" ht="13.2">
      <c r="A90" s="369" t="s">
        <v>581</v>
      </c>
      <c r="B90" s="523">
        <f>'Sources and Uses Budget'!C89</f>
        <v>30000</v>
      </c>
      <c r="C90" s="523">
        <f>'Sources and Uses Budget'!C89</f>
        <v>30000</v>
      </c>
      <c r="D90" s="523">
        <f>'Sources and Uses Budget'!C89</f>
        <v>30000</v>
      </c>
      <c r="E90" s="525">
        <f t="shared" si="6"/>
        <v>0</v>
      </c>
      <c r="F90" s="524"/>
      <c r="G90" s="524"/>
    </row>
    <row r="91" spans="1:7" s="902" customFormat="1" ht="13.2">
      <c r="A91" s="380" t="s">
        <v>1456</v>
      </c>
      <c r="B91" s="523">
        <f>'Sources and Uses Budget'!C90</f>
        <v>25000</v>
      </c>
      <c r="C91" s="523">
        <f>'Sources and Uses Budget'!C90</f>
        <v>25000</v>
      </c>
      <c r="D91" s="523">
        <f>'Sources and Uses Budget'!C90</f>
        <v>25000</v>
      </c>
      <c r="E91" s="525">
        <f t="shared" si="6"/>
        <v>0</v>
      </c>
      <c r="F91" s="524"/>
      <c r="G91" s="524"/>
    </row>
    <row r="92" spans="1:7" s="902" customFormat="1" ht="13.2">
      <c r="A92" s="380" t="s">
        <v>1970</v>
      </c>
      <c r="B92" s="523">
        <f>'Sources and Uses Budget'!C91</f>
        <v>15000</v>
      </c>
      <c r="C92" s="523">
        <f>'Sources and Uses Budget'!C91</f>
        <v>15000</v>
      </c>
      <c r="D92" s="523">
        <f>'Sources and Uses Budget'!C91</f>
        <v>15000</v>
      </c>
      <c r="E92" s="525">
        <f t="shared" si="6"/>
        <v>0</v>
      </c>
      <c r="F92" s="524"/>
      <c r="G92" s="524"/>
    </row>
    <row r="93" spans="1:7" s="902" customFormat="1" ht="13.2">
      <c r="A93" s="376" t="s">
        <v>592</v>
      </c>
      <c r="B93" s="523">
        <f>'Sources and Uses Budget'!C92</f>
        <v>12150</v>
      </c>
      <c r="C93" s="523">
        <f>'Sources and Uses Budget'!C92</f>
        <v>12150</v>
      </c>
      <c r="D93" s="523">
        <f>'Sources and Uses Budget'!C92</f>
        <v>12150</v>
      </c>
      <c r="E93" s="525">
        <f t="shared" si="6"/>
        <v>0</v>
      </c>
      <c r="F93" s="524"/>
      <c r="G93" s="524"/>
    </row>
    <row r="94" spans="1:7" s="902" customFormat="1" ht="13.2">
      <c r="A94" s="376" t="s">
        <v>592</v>
      </c>
      <c r="B94" s="523">
        <f>'Sources and Uses Budget'!C93</f>
        <v>110600</v>
      </c>
      <c r="C94" s="523">
        <f>'Sources and Uses Budget'!C93</f>
        <v>110600</v>
      </c>
      <c r="D94" s="523">
        <f>'Sources and Uses Budget'!C93</f>
        <v>110600</v>
      </c>
      <c r="E94" s="525">
        <f t="shared" si="6"/>
        <v>0</v>
      </c>
      <c r="F94" s="524"/>
      <c r="G94" s="524"/>
    </row>
    <row r="95" spans="1:7" s="902" customFormat="1" ht="13.2">
      <c r="A95" s="376" t="s">
        <v>592</v>
      </c>
      <c r="B95" s="523">
        <f>'Sources and Uses Budget'!C94</f>
        <v>0</v>
      </c>
      <c r="C95" s="523">
        <f>'Sources and Uses Budget'!C94</f>
        <v>0</v>
      </c>
      <c r="D95" s="523">
        <f>'Sources and Uses Budget'!C94</f>
        <v>0</v>
      </c>
      <c r="E95" s="525">
        <f t="shared" si="6"/>
        <v>0</v>
      </c>
      <c r="F95" s="524"/>
      <c r="G95" s="524"/>
    </row>
    <row r="96" spans="1:7" s="902" customFormat="1" ht="13.2">
      <c r="A96" s="373" t="s">
        <v>582</v>
      </c>
      <c r="B96" s="1500">
        <f>'Sources and Uses Budget'!C95</f>
        <v>2081982</v>
      </c>
      <c r="C96" s="1500">
        <f>'Sources and Uses Budget'!C95</f>
        <v>2081982</v>
      </c>
      <c r="D96" s="1500">
        <f>'Sources and Uses Budget'!C95</f>
        <v>2081982</v>
      </c>
      <c r="E96" s="525">
        <f t="shared" si="6"/>
        <v>0</v>
      </c>
      <c r="F96" s="524"/>
      <c r="G96" s="524"/>
    </row>
    <row r="97" spans="1:7" s="901" customFormat="1" ht="13.2">
      <c r="A97" s="373" t="s">
        <v>583</v>
      </c>
      <c r="B97" s="1500">
        <f>'Sources and Uses Budget'!C96</f>
        <v>36835549</v>
      </c>
      <c r="C97" s="1500">
        <f>'Sources and Uses Budget'!C96</f>
        <v>36835549</v>
      </c>
      <c r="D97" s="1500">
        <f>'Sources and Uses Budget'!C96</f>
        <v>36835549</v>
      </c>
      <c r="E97" s="525">
        <f t="shared" si="6"/>
        <v>0</v>
      </c>
      <c r="F97" s="524"/>
      <c r="G97" s="524"/>
    </row>
    <row r="98" spans="1:7" s="901" customFormat="1" ht="13.2">
      <c r="A98" s="1488" t="s">
        <v>584</v>
      </c>
      <c r="B98" s="521"/>
      <c r="C98" s="521"/>
      <c r="D98" s="521"/>
      <c r="E98" s="521"/>
      <c r="F98" s="521"/>
      <c r="G98" s="521"/>
    </row>
    <row r="99" spans="1:7" s="901" customFormat="1" ht="13.2">
      <c r="A99" s="369" t="s">
        <v>585</v>
      </c>
      <c r="B99" s="523">
        <f>'Sources and Uses Budget'!C98</f>
        <v>2000000</v>
      </c>
      <c r="C99" s="523">
        <f>'Sources and Uses Budget'!C98</f>
        <v>2000000</v>
      </c>
      <c r="D99" s="523">
        <f>'Sources and Uses Budget'!C98</f>
        <v>2000000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3.2">
      <c r="A101" s="369" t="s">
        <v>586</v>
      </c>
      <c r="B101" s="523">
        <f>'Sources and Uses Budget'!C100</f>
        <v>0</v>
      </c>
      <c r="C101" s="523">
        <f>'Sources and Uses Budget'!C100</f>
        <v>0</v>
      </c>
      <c r="D101" s="523">
        <f>'Sources and Uses Budget'!C100</f>
        <v>0</v>
      </c>
      <c r="E101" s="525">
        <f t="shared" si="6"/>
        <v>0</v>
      </c>
      <c r="F101" s="524"/>
      <c r="G101" s="524"/>
    </row>
    <row r="102" spans="1:7" s="901" customFormat="1" ht="13.2">
      <c r="A102" s="369" t="s">
        <v>2320</v>
      </c>
      <c r="B102" s="523">
        <f>'Sources and Uses Budget'!C101</f>
        <v>0</v>
      </c>
      <c r="C102" s="523">
        <f>'Sources and Uses Budget'!C101</f>
        <v>0</v>
      </c>
      <c r="D102" s="523">
        <f>'Sources and Uses Budget'!C101</f>
        <v>0</v>
      </c>
      <c r="E102" s="525">
        <f t="shared" si="6"/>
        <v>0</v>
      </c>
      <c r="F102" s="524"/>
      <c r="G102" s="524"/>
    </row>
    <row r="103" spans="1:7" s="901" customFormat="1" ht="13.2">
      <c r="A103" s="1495" t="s">
        <v>592</v>
      </c>
      <c r="B103" s="523">
        <f>'Sources and Uses Budget'!C102</f>
        <v>0</v>
      </c>
      <c r="C103" s="523">
        <f>'Sources and Uses Budget'!C102</f>
        <v>0</v>
      </c>
      <c r="D103" s="523">
        <f>'Sources and Uses Budget'!C102</f>
        <v>0</v>
      </c>
      <c r="E103" s="525">
        <f t="shared" si="6"/>
        <v>0</v>
      </c>
      <c r="F103" s="524"/>
      <c r="G103" s="524"/>
    </row>
    <row r="104" spans="1:7" s="901" customFormat="1" ht="13.2">
      <c r="A104" s="1493" t="s">
        <v>587</v>
      </c>
      <c r="B104" s="1500">
        <f>'Sources and Uses Budget'!C103</f>
        <v>2000000</v>
      </c>
      <c r="C104" s="1500">
        <f>'Sources and Uses Budget'!C103</f>
        <v>2000000</v>
      </c>
      <c r="D104" s="1500">
        <f>'Sources and Uses Budget'!C103</f>
        <v>2000000</v>
      </c>
      <c r="E104" s="525">
        <f t="shared" si="6"/>
        <v>0</v>
      </c>
      <c r="F104" s="524"/>
      <c r="G104" s="524"/>
    </row>
    <row r="105" spans="1:7" s="901" customFormat="1" ht="13.2">
      <c r="A105" s="1493" t="s">
        <v>588</v>
      </c>
      <c r="B105" s="1500">
        <f>'Sources and Uses Budget'!C104</f>
        <v>38835549</v>
      </c>
      <c r="C105" s="1500">
        <f>'Sources and Uses Budget'!C104</f>
        <v>38835549</v>
      </c>
      <c r="D105" s="1500">
        <f>'Sources and Uses Budget'!C104</f>
        <v>38835549</v>
      </c>
      <c r="E105" s="525">
        <f t="shared" si="6"/>
        <v>0</v>
      </c>
      <c r="F105" s="524"/>
      <c r="G105" s="1499"/>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27" t="s">
        <v>333</v>
      </c>
      <c r="B2" s="1528"/>
      <c r="C2" s="1528"/>
      <c r="D2" s="1528"/>
      <c r="E2" s="1528"/>
      <c r="F2" s="1528"/>
      <c r="G2" s="1528"/>
      <c r="H2" s="1528"/>
      <c r="I2" s="1528"/>
      <c r="J2" s="1528"/>
    </row>
    <row r="3" spans="1:10" ht="15">
      <c r="A3" s="1529" t="s">
        <v>2322</v>
      </c>
      <c r="B3" s="1528"/>
      <c r="C3" s="1528"/>
      <c r="D3" s="1528"/>
      <c r="E3" s="1528"/>
      <c r="F3" s="1528"/>
      <c r="G3" s="1528"/>
      <c r="H3" s="1528"/>
      <c r="I3" s="1528"/>
      <c r="J3" s="1528"/>
    </row>
    <row r="4" spans="1:10"/>
    <row r="5" spans="1:10">
      <c r="A5" s="1530" t="s">
        <v>2324</v>
      </c>
      <c r="B5" s="1531"/>
      <c r="C5" s="1531"/>
      <c r="D5" s="1531"/>
      <c r="E5" s="1531"/>
      <c r="F5" s="1531"/>
      <c r="G5" s="1531"/>
      <c r="H5" s="1531"/>
      <c r="I5" s="1531"/>
      <c r="J5" s="1531"/>
    </row>
    <row r="6" spans="1:10">
      <c r="A6" s="1531"/>
      <c r="B6" s="1531"/>
      <c r="C6" s="1531"/>
      <c r="D6" s="1531"/>
      <c r="E6" s="1531"/>
      <c r="F6" s="1531"/>
      <c r="G6" s="1531"/>
      <c r="H6" s="1531"/>
      <c r="I6" s="1531"/>
      <c r="J6" s="1531"/>
    </row>
    <row r="7" spans="1:10">
      <c r="A7" s="1531"/>
      <c r="B7" s="1531"/>
      <c r="C7" s="1531"/>
      <c r="D7" s="1531"/>
      <c r="E7" s="1531"/>
      <c r="F7" s="1531"/>
      <c r="G7" s="1531"/>
      <c r="H7" s="1531"/>
      <c r="I7" s="1531"/>
      <c r="J7" s="1531"/>
    </row>
    <row r="8" spans="1:10">
      <c r="A8" s="1531"/>
      <c r="B8" s="1531"/>
      <c r="C8" s="1531"/>
      <c r="D8" s="1531"/>
      <c r="E8" s="1531"/>
      <c r="F8" s="1531"/>
      <c r="G8" s="1531"/>
      <c r="H8" s="1531"/>
      <c r="I8" s="1531"/>
      <c r="J8" s="1531"/>
    </row>
    <row r="9" spans="1:10">
      <c r="A9" s="1126"/>
      <c r="B9" s="1126"/>
      <c r="C9" s="1126"/>
      <c r="D9" s="1126"/>
      <c r="E9" s="1126"/>
      <c r="F9" s="1126"/>
      <c r="G9" s="1126"/>
      <c r="H9" s="1126"/>
      <c r="I9" s="1126"/>
      <c r="J9" s="1126"/>
    </row>
    <row r="10" spans="1:10" ht="12.75" customHeight="1">
      <c r="A10" s="1502" t="s">
        <v>2325</v>
      </c>
      <c r="B10" s="1501"/>
      <c r="C10" s="1501"/>
      <c r="D10" s="1501"/>
      <c r="E10" s="1501"/>
      <c r="F10" s="1501"/>
      <c r="G10" s="1501"/>
      <c r="H10" s="1501"/>
      <c r="I10" s="1501"/>
      <c r="J10" s="1501"/>
    </row>
    <row r="11" spans="1:10"/>
    <row r="12" spans="1:10" ht="12.75" customHeight="1">
      <c r="A12" s="1530" t="s">
        <v>2133</v>
      </c>
      <c r="B12" s="1532"/>
      <c r="C12" s="1532"/>
      <c r="D12" s="1532"/>
      <c r="E12" s="1532"/>
      <c r="F12" s="1532"/>
      <c r="G12" s="1532"/>
      <c r="H12" s="1532"/>
      <c r="I12" s="1532"/>
      <c r="J12" s="1532"/>
    </row>
    <row r="13" spans="1:10" ht="12.75" customHeight="1">
      <c r="A13" s="1532"/>
      <c r="B13" s="1532"/>
      <c r="C13" s="1532"/>
      <c r="D13" s="1532"/>
      <c r="E13" s="1532"/>
      <c r="F13" s="1532"/>
      <c r="G13" s="1532"/>
      <c r="H13" s="1532"/>
      <c r="I13" s="1532"/>
      <c r="J13" s="1532"/>
    </row>
    <row r="14" spans="1:10">
      <c r="A14" s="1532"/>
      <c r="B14" s="1532"/>
      <c r="C14" s="1532"/>
      <c r="D14" s="1532"/>
      <c r="E14" s="1532"/>
      <c r="F14" s="1532"/>
      <c r="G14" s="1532"/>
      <c r="H14" s="1532"/>
      <c r="I14" s="1532"/>
      <c r="J14" s="1532"/>
    </row>
    <row r="15" spans="1:10">
      <c r="A15" s="1531"/>
      <c r="B15" s="1531"/>
      <c r="C15" s="1531"/>
      <c r="D15" s="1531"/>
      <c r="E15" s="1531"/>
      <c r="F15" s="1531"/>
      <c r="G15" s="1531"/>
      <c r="H15" s="1531"/>
      <c r="I15" s="1531"/>
      <c r="J15" s="1531"/>
    </row>
    <row r="16" spans="1:10">
      <c r="A16" s="1531"/>
      <c r="B16" s="1531"/>
      <c r="C16" s="1531"/>
      <c r="D16" s="1531"/>
      <c r="E16" s="1531"/>
      <c r="F16" s="1531"/>
      <c r="G16" s="1531"/>
      <c r="H16" s="1531"/>
      <c r="I16" s="1531"/>
      <c r="J16" s="1531"/>
    </row>
    <row r="17" spans="1:10">
      <c r="A17" s="1531"/>
      <c r="B17" s="1531"/>
      <c r="C17" s="1531"/>
      <c r="D17" s="1531"/>
      <c r="E17" s="1531"/>
      <c r="F17" s="1531"/>
      <c r="G17" s="1531"/>
      <c r="H17" s="1531"/>
      <c r="I17" s="1531"/>
      <c r="J17" s="1531"/>
    </row>
    <row r="18" spans="1:10">
      <c r="A18" s="40" t="s">
        <v>1148</v>
      </c>
      <c r="B18" s="1126"/>
      <c r="C18" s="1126"/>
      <c r="D18" s="1126"/>
      <c r="E18" s="1126"/>
      <c r="F18" s="1126"/>
      <c r="G18" s="1126"/>
      <c r="H18" s="1126"/>
      <c r="I18" s="1126"/>
      <c r="J18" s="1126"/>
    </row>
    <row r="19" spans="1:10">
      <c r="A19" s="1127" t="s">
        <v>255</v>
      </c>
      <c r="B19" s="1127"/>
      <c r="C19" s="1127"/>
      <c r="D19" s="1127"/>
      <c r="E19" s="1127"/>
      <c r="F19" s="1127"/>
      <c r="G19" s="1127"/>
      <c r="H19" s="1127"/>
      <c r="I19" s="1127"/>
      <c r="J19" s="1127"/>
    </row>
    <row r="20" spans="1:10">
      <c r="A20" s="1533" t="s">
        <v>1130</v>
      </c>
      <c r="B20" s="1528"/>
      <c r="C20" s="1528"/>
      <c r="D20" s="1528"/>
      <c r="E20" s="152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2" t="s">
        <v>1149</v>
      </c>
      <c r="B57" s="1531"/>
      <c r="C57" s="1531"/>
      <c r="D57" s="1531"/>
      <c r="E57" s="1531"/>
      <c r="F57" s="1531"/>
      <c r="G57" s="1531"/>
      <c r="H57" s="1531"/>
      <c r="I57" s="1531"/>
      <c r="J57" s="1531"/>
    </row>
    <row r="58" spans="1:10">
      <c r="A58" s="1531"/>
      <c r="B58" s="1531"/>
      <c r="C58" s="1531"/>
      <c r="D58" s="1531"/>
      <c r="E58" s="1531"/>
      <c r="F58" s="1531"/>
      <c r="G58" s="1531"/>
      <c r="H58" s="1531"/>
      <c r="I58" s="1531"/>
      <c r="J58" s="1531"/>
    </row>
    <row r="59" spans="1:10">
      <c r="A59" s="1531"/>
      <c r="B59" s="1531"/>
      <c r="C59" s="1531"/>
      <c r="D59" s="1531"/>
      <c r="E59" s="1531"/>
      <c r="F59" s="1531"/>
      <c r="G59" s="1531"/>
      <c r="H59" s="1531"/>
      <c r="I59" s="1531"/>
      <c r="J59" s="1531"/>
    </row>
    <row r="60" spans="1:10"/>
    <row r="61" spans="1:10">
      <c r="A61" s="8" t="s">
        <v>1130</v>
      </c>
    </row>
    <row r="62" spans="1:10"/>
    <row r="63" spans="1:10"/>
    <row r="64" spans="1:10"/>
    <row r="65" spans="1:9"/>
    <row r="66" spans="1:9"/>
    <row r="67" spans="1:9"/>
    <row r="68" spans="1:9"/>
    <row r="69" spans="1:9"/>
    <row r="70" spans="1:9"/>
    <row r="71" spans="1:9"/>
    <row r="72" spans="1:9">
      <c r="A72" s="1526" t="s">
        <v>1265</v>
      </c>
      <c r="B72" s="1526"/>
      <c r="C72" s="1526"/>
      <c r="D72" s="1526"/>
      <c r="E72" s="1526"/>
      <c r="F72" s="1526"/>
      <c r="G72" s="1526"/>
      <c r="H72" s="1526"/>
      <c r="I72" s="1526"/>
    </row>
    <row r="73" spans="1:9">
      <c r="A73" s="1525" t="s">
        <v>1426</v>
      </c>
      <c r="B73" s="1525"/>
      <c r="C73" s="1525"/>
      <c r="D73" s="1525"/>
      <c r="E73" s="1525"/>
      <c r="F73" s="1125"/>
    </row>
    <row r="74" spans="1:9">
      <c r="A74" s="1525" t="s">
        <v>1425</v>
      </c>
      <c r="B74" s="1525"/>
      <c r="C74" s="1525"/>
      <c r="D74" s="1525"/>
      <c r="E74" s="1525"/>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Normal="100" zoomScaleSheetLayoutView="100" workbookViewId="0">
      <selection activeCell="AQ32" sqref="AQ32"/>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27" width="0" style="16" hidden="1" customWidth="1"/>
    <col min="128" max="16384" width="0"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59" t="s">
        <v>868</v>
      </c>
      <c r="B9" s="1959"/>
      <c r="C9" s="1959"/>
      <c r="D9" s="1959"/>
      <c r="E9" s="1959"/>
      <c r="F9" s="1959"/>
      <c r="G9" s="1959"/>
      <c r="H9" s="1959"/>
      <c r="I9" s="1959"/>
      <c r="J9" s="1959"/>
      <c r="K9" s="1959"/>
      <c r="L9" s="1959"/>
      <c r="M9" s="1959"/>
      <c r="N9" s="1959"/>
      <c r="O9" s="1959"/>
      <c r="P9" s="1959"/>
      <c r="Q9" s="1959"/>
      <c r="R9" s="1959"/>
      <c r="S9" s="1959"/>
      <c r="T9" s="1959"/>
      <c r="U9" s="1959"/>
      <c r="V9" s="1959"/>
      <c r="W9" s="1959"/>
      <c r="X9" s="1959"/>
      <c r="Y9" s="1959"/>
      <c r="Z9" s="1959"/>
      <c r="AA9" s="1959"/>
      <c r="AB9" s="1959"/>
      <c r="AC9" s="1959"/>
      <c r="AD9" s="1959"/>
      <c r="AE9" s="1959"/>
      <c r="AF9" s="1959"/>
      <c r="AG9" s="1959"/>
      <c r="AH9" s="1959"/>
      <c r="AI9" s="1959"/>
      <c r="AJ9" s="1959"/>
      <c r="AK9" s="1959"/>
      <c r="AL9" s="1959"/>
    </row>
    <row r="10" spans="1:38" ht="15" customHeight="1">
      <c r="A10" s="1961" t="s">
        <v>2255</v>
      </c>
      <c r="B10" s="1961"/>
      <c r="C10" s="1961"/>
      <c r="D10" s="1961"/>
      <c r="E10" s="1961"/>
      <c r="F10" s="1961"/>
      <c r="G10" s="1961"/>
      <c r="H10" s="1961"/>
      <c r="I10" s="1961"/>
      <c r="J10" s="1961"/>
      <c r="K10" s="1961"/>
      <c r="L10" s="1961"/>
      <c r="M10" s="1961"/>
      <c r="N10" s="1961"/>
      <c r="O10" s="1961"/>
      <c r="P10" s="1961"/>
      <c r="Q10" s="1961"/>
      <c r="R10" s="1961"/>
      <c r="S10" s="1961"/>
      <c r="T10" s="1961"/>
      <c r="U10" s="1961"/>
      <c r="V10" s="1961"/>
      <c r="W10" s="1961"/>
      <c r="X10" s="1961"/>
      <c r="Y10" s="1961"/>
      <c r="Z10" s="1961"/>
      <c r="AA10" s="1961"/>
      <c r="AB10" s="1961"/>
      <c r="AC10" s="1961"/>
      <c r="AD10" s="1961"/>
      <c r="AE10" s="1961"/>
      <c r="AF10" s="1961"/>
      <c r="AG10" s="1961"/>
      <c r="AH10" s="1961"/>
      <c r="AI10" s="1961"/>
      <c r="AJ10" s="1961"/>
      <c r="AK10" s="1961"/>
      <c r="AL10" s="1961"/>
    </row>
    <row r="11" spans="1:38" s="644" customFormat="1" ht="13.2">
      <c r="A11" s="1963" t="s">
        <v>2328</v>
      </c>
      <c r="B11" s="1964"/>
      <c r="C11" s="1964"/>
      <c r="D11" s="1964"/>
      <c r="E11" s="1964"/>
      <c r="F11" s="1964"/>
      <c r="G11" s="1964"/>
      <c r="H11" s="1964"/>
      <c r="I11" s="1964"/>
      <c r="J11" s="1964"/>
      <c r="K11" s="1964"/>
      <c r="L11" s="1964"/>
      <c r="M11" s="1964"/>
      <c r="N11" s="1964"/>
      <c r="O11" s="1964"/>
      <c r="P11" s="1964"/>
      <c r="Q11" s="1964"/>
      <c r="R11" s="1964"/>
      <c r="S11" s="1964"/>
      <c r="T11" s="1964"/>
      <c r="U11" s="1964"/>
      <c r="V11" s="1964"/>
      <c r="W11" s="1964"/>
      <c r="X11" s="1964"/>
      <c r="Y11" s="1964"/>
      <c r="Z11" s="1964"/>
      <c r="AA11" s="1964"/>
      <c r="AB11" s="1964"/>
      <c r="AC11" s="1964"/>
      <c r="AD11" s="1964"/>
      <c r="AE11" s="1964"/>
      <c r="AF11" s="1964"/>
      <c r="AG11" s="1964"/>
      <c r="AH11" s="1964"/>
      <c r="AI11" s="1964"/>
      <c r="AJ11" s="1964"/>
      <c r="AK11" s="1964"/>
      <c r="AL11" s="1964"/>
    </row>
    <row r="12" spans="1:38" ht="13.2">
      <c r="A12" s="1518" t="s">
        <v>2141</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38"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962" t="s">
        <v>2329</v>
      </c>
      <c r="I15" s="1962"/>
      <c r="J15" s="1962"/>
      <c r="K15" s="1962"/>
      <c r="L15" s="1962"/>
      <c r="M15" s="1962"/>
      <c r="N15" s="1962"/>
      <c r="O15" s="1962"/>
      <c r="P15" s="1962"/>
      <c r="Q15" s="1962"/>
      <c r="R15" s="1962"/>
      <c r="S15" s="1962"/>
      <c r="T15" s="1962"/>
      <c r="U15" s="1962"/>
      <c r="V15" s="1962"/>
      <c r="W15" s="1962"/>
      <c r="X15" s="1962"/>
      <c r="Y15" s="1962"/>
      <c r="Z15" s="1962"/>
      <c r="AA15" s="1962"/>
      <c r="AB15" s="1962"/>
      <c r="AC15" s="1962"/>
      <c r="AD15" s="1962"/>
      <c r="AE15" s="1962"/>
      <c r="AF15" s="1962"/>
      <c r="AG15" s="1962"/>
      <c r="AH15" s="1962"/>
      <c r="AI15" s="1962"/>
      <c r="AJ15" s="1962"/>
    </row>
    <row r="16" spans="1:38" ht="12.75" customHeight="1"/>
    <row r="17" spans="1:40" ht="12.75" customHeight="1">
      <c r="A17" s="142" t="s">
        <v>869</v>
      </c>
      <c r="C17" s="8"/>
      <c r="D17" s="8"/>
      <c r="E17" s="8"/>
      <c r="F17" s="8"/>
      <c r="G17" s="8"/>
      <c r="H17" s="1957" t="s">
        <v>2330</v>
      </c>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row>
    <row r="18" spans="1:40" ht="12.75" customHeight="1"/>
    <row r="19" spans="1:40" ht="15" customHeight="1">
      <c r="A19" s="1529" t="s">
        <v>1218</v>
      </c>
      <c r="B19" s="1529"/>
      <c r="C19" s="1529"/>
      <c r="D19" s="1529"/>
      <c r="E19" s="1529"/>
      <c r="F19" s="1529"/>
      <c r="G19" s="1529"/>
      <c r="H19" s="1529"/>
      <c r="I19" s="1529"/>
      <c r="J19" s="1529"/>
      <c r="K19" s="1529"/>
      <c r="L19" s="1529"/>
      <c r="M19" s="1529"/>
      <c r="N19" s="1529"/>
      <c r="O19" s="1529"/>
      <c r="P19" s="1529"/>
      <c r="Q19" s="1529"/>
      <c r="R19" s="1529"/>
      <c r="S19" s="1529"/>
      <c r="T19" s="1529"/>
      <c r="U19" s="1529"/>
      <c r="V19" s="1529"/>
      <c r="W19" s="1529"/>
      <c r="X19" s="1529"/>
      <c r="Y19" s="1529"/>
      <c r="Z19" s="1529"/>
      <c r="AA19" s="1529"/>
      <c r="AB19" s="1529"/>
      <c r="AC19" s="1529"/>
      <c r="AD19" s="1529"/>
      <c r="AE19" s="1529"/>
      <c r="AF19" s="1529"/>
      <c r="AG19" s="1529"/>
      <c r="AH19" s="1529"/>
      <c r="AI19" s="1529"/>
      <c r="AJ19" s="1529"/>
      <c r="AK19" s="1529"/>
      <c r="AL19" s="1529"/>
    </row>
    <row r="20" spans="1:40" ht="12.75" customHeight="1">
      <c r="A20" s="1966" t="s">
        <v>1495</v>
      </c>
      <c r="B20" s="1966"/>
      <c r="C20" s="1966"/>
      <c r="D20" s="1966"/>
      <c r="E20" s="1966"/>
      <c r="F20" s="1966"/>
      <c r="G20" s="1966"/>
      <c r="H20" s="1966"/>
      <c r="I20" s="1966"/>
      <c r="J20" s="1966"/>
      <c r="K20" s="1966"/>
      <c r="L20" s="1966"/>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7">
        <f>'Basis &amp; Credits'!AB55</f>
        <v>2140815</v>
      </c>
      <c r="N25" s="1967"/>
      <c r="O25" s="1967"/>
      <c r="P25" s="1967"/>
      <c r="Q25" s="196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7">
        <f>'Basis &amp; Credits'!AB76</f>
        <v>7136049</v>
      </c>
      <c r="N27" s="1967"/>
      <c r="O27" s="1967"/>
      <c r="P27" s="1967"/>
      <c r="Q27" s="1967"/>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96" t="s">
        <v>119</v>
      </c>
      <c r="P33" s="1696"/>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5"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5"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5"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5"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35"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36"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35"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5"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1499</v>
      </c>
    </row>
    <row r="117" spans="1:39" ht="13.2">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3"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57"/>
      <c r="H128" s="1757"/>
      <c r="I128" s="72" t="s">
        <v>461</v>
      </c>
      <c r="J128" s="72"/>
      <c r="L128" s="1965"/>
      <c r="M128" s="1965"/>
      <c r="N128" s="1965"/>
      <c r="O128" s="72" t="s">
        <v>2256</v>
      </c>
      <c r="P128" s="72"/>
      <c r="Q128" s="72"/>
      <c r="R128" s="72"/>
      <c r="S128" s="72"/>
      <c r="T128" s="72"/>
      <c r="U128" s="72"/>
      <c r="V128" s="72"/>
      <c r="W128" s="72"/>
      <c r="X128" s="72" t="s">
        <v>463</v>
      </c>
      <c r="Y128" s="1351"/>
      <c r="Z128" s="1351"/>
      <c r="AA128" s="1351"/>
      <c r="AB128" s="1351"/>
      <c r="AC128" s="1351"/>
      <c r="AD128" s="1351"/>
      <c r="AE128" s="1351"/>
      <c r="AF128" s="1351"/>
      <c r="AG128" s="1351"/>
      <c r="AH128" s="1351"/>
      <c r="AI128" s="1351"/>
      <c r="AJ128" s="1351"/>
      <c r="AK128" s="1351"/>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965"/>
      <c r="D130" s="1965"/>
      <c r="E130" s="1965"/>
      <c r="F130" s="1965"/>
      <c r="G130" s="1965"/>
      <c r="H130" s="1965"/>
      <c r="I130" s="1965"/>
      <c r="J130" s="1965"/>
      <c r="K130" s="1965"/>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57" t="s">
        <v>2331</v>
      </c>
      <c r="Z131" s="1957"/>
      <c r="AA131" s="1957"/>
      <c r="AB131" s="1957"/>
      <c r="AC131" s="1957"/>
      <c r="AD131" s="1957"/>
      <c r="AE131" s="1957"/>
      <c r="AF131" s="1957"/>
      <c r="AG131" s="1957"/>
      <c r="AH131" s="1957"/>
      <c r="AI131" s="1957"/>
      <c r="AJ131" s="1957"/>
      <c r="AK131" s="1957"/>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46"/>
      <c r="B134" s="1346"/>
      <c r="C134" s="72"/>
      <c r="D134" s="72"/>
      <c r="E134" s="72"/>
      <c r="F134" s="72"/>
      <c r="G134" s="72"/>
      <c r="H134" s="72"/>
      <c r="I134" s="72"/>
      <c r="J134" s="72"/>
      <c r="K134" s="72"/>
      <c r="L134" s="72"/>
      <c r="M134" s="72"/>
      <c r="N134" s="72"/>
      <c r="O134" s="72"/>
      <c r="P134" s="72"/>
      <c r="Q134" s="72"/>
      <c r="R134" s="72"/>
      <c r="S134" s="72"/>
      <c r="T134" s="72"/>
      <c r="U134" s="72"/>
      <c r="V134" s="72"/>
      <c r="W134" s="72"/>
      <c r="X134" s="72"/>
      <c r="Y134" s="1957" t="s">
        <v>2332</v>
      </c>
      <c r="Z134" s="1957"/>
      <c r="AA134" s="1957"/>
      <c r="AB134" s="1957"/>
      <c r="AC134" s="1957"/>
      <c r="AD134" s="1957"/>
      <c r="AE134" s="1957"/>
      <c r="AF134" s="1957"/>
      <c r="AG134" s="1957"/>
      <c r="AH134" s="1957"/>
      <c r="AI134" s="1957"/>
      <c r="AJ134" s="1957"/>
      <c r="AK134" s="1957"/>
      <c r="AL134" s="1337"/>
      <c r="AM134" s="1337"/>
      <c r="AN134" s="1337"/>
      <c r="AO134" s="1337"/>
      <c r="AP134" s="1337"/>
      <c r="AQ134" s="1337"/>
      <c r="AR134" s="1337"/>
      <c r="AS134" s="1337"/>
      <c r="AT134" s="1337"/>
      <c r="AU134" s="1337"/>
      <c r="AV134" s="1337"/>
      <c r="AW134" s="1337"/>
      <c r="AX134" s="1337"/>
      <c r="AY134" s="1337"/>
      <c r="AZ134" s="1337"/>
      <c r="BA134" s="1337"/>
      <c r="BB134" s="1337"/>
      <c r="BC134" s="1337"/>
      <c r="BD134" s="1337"/>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957" t="s">
        <v>2333</v>
      </c>
      <c r="P156" s="1957"/>
      <c r="Q156" s="1957"/>
      <c r="R156" s="1957"/>
      <c r="S156" s="1957"/>
      <c r="T156" s="1957"/>
      <c r="U156" s="1957"/>
      <c r="V156" s="1957"/>
      <c r="W156" s="1957"/>
      <c r="X156" s="1957"/>
      <c r="Y156" s="1957"/>
      <c r="Z156" s="1957"/>
      <c r="AA156" s="1957"/>
      <c r="AB156" s="1957"/>
      <c r="AC156" s="1957"/>
      <c r="AD156" s="1957"/>
      <c r="AE156" s="1957"/>
      <c r="AF156" s="1957"/>
      <c r="AG156" s="1957"/>
      <c r="AH156" s="1957"/>
      <c r="BT156" s="16" t="s">
        <v>86</v>
      </c>
    </row>
    <row r="157" spans="1:72" ht="12.75" customHeight="1">
      <c r="D157" s="734" t="s">
        <v>602</v>
      </c>
      <c r="F157" s="42"/>
      <c r="G157" s="42"/>
      <c r="H157" s="42"/>
      <c r="I157" s="42"/>
      <c r="J157" s="42"/>
      <c r="K157" s="42"/>
      <c r="L157" s="42"/>
      <c r="M157" s="42"/>
      <c r="N157" s="42"/>
      <c r="O157" s="1706" t="s">
        <v>2334</v>
      </c>
      <c r="P157" s="1706"/>
      <c r="Q157" s="1706"/>
      <c r="R157" s="1706"/>
      <c r="S157" s="1706"/>
      <c r="T157" s="1706"/>
      <c r="U157" s="1706"/>
      <c r="V157" s="1706"/>
      <c r="W157" s="1706"/>
      <c r="X157" s="1706"/>
      <c r="Y157" s="1706"/>
      <c r="Z157" s="1706"/>
      <c r="AA157" s="1706"/>
      <c r="AB157" s="1706"/>
      <c r="AC157" s="1706"/>
      <c r="AD157" s="1706"/>
      <c r="AE157" s="1706"/>
      <c r="AF157" s="1706"/>
      <c r="AG157" s="1706"/>
      <c r="AH157" s="1706"/>
      <c r="AI157" s="16" t="s">
        <v>775</v>
      </c>
      <c r="BN157" s="47" t="s">
        <v>471</v>
      </c>
      <c r="BT157" s="16" t="s">
        <v>32</v>
      </c>
    </row>
    <row r="158" spans="1:72" ht="12.75" customHeight="1">
      <c r="D158" s="17" t="s">
        <v>603</v>
      </c>
      <c r="F158" s="17"/>
      <c r="G158" s="17"/>
      <c r="H158" s="17"/>
      <c r="I158" s="17"/>
      <c r="J158" s="17"/>
      <c r="K158" s="17"/>
      <c r="L158" s="17"/>
      <c r="M158" s="17"/>
      <c r="N158" s="17"/>
      <c r="O158" s="2049" t="s">
        <v>604</v>
      </c>
      <c r="P158" s="2049"/>
      <c r="Q158" s="2049"/>
      <c r="R158" s="2049"/>
      <c r="S158" s="2049"/>
      <c r="T158" s="2049"/>
      <c r="U158" s="2049"/>
      <c r="V158" s="2049"/>
      <c r="W158" s="2049"/>
      <c r="X158" s="2049"/>
      <c r="Y158" s="2049"/>
      <c r="Z158" s="2049"/>
      <c r="AA158" s="2049"/>
      <c r="AB158" s="2049"/>
      <c r="AC158" s="2049"/>
      <c r="AD158" s="2049"/>
      <c r="AE158" s="2049"/>
      <c r="AF158" s="2049"/>
      <c r="AG158" s="2049"/>
      <c r="AH158" s="2049"/>
      <c r="BN158" s="47" t="s">
        <v>472</v>
      </c>
      <c r="BT158" s="16" t="s">
        <v>33</v>
      </c>
    </row>
    <row r="159" spans="1:72" ht="12.75" customHeight="1">
      <c r="D159" s="42" t="s">
        <v>713</v>
      </c>
      <c r="F159" s="42"/>
      <c r="G159" s="42"/>
      <c r="H159" s="42"/>
      <c r="I159" s="42"/>
      <c r="J159" s="42"/>
      <c r="K159" s="42"/>
      <c r="L159" s="42"/>
      <c r="M159" s="42"/>
      <c r="N159" s="42"/>
      <c r="O159" s="1697" t="s">
        <v>2335</v>
      </c>
      <c r="P159" s="1697"/>
      <c r="Q159" s="1697"/>
      <c r="R159" s="1697"/>
      <c r="S159" s="1697"/>
      <c r="T159" s="1697"/>
      <c r="U159" s="1697"/>
      <c r="V159" s="1697"/>
      <c r="W159" s="1697"/>
      <c r="X159" s="1697"/>
      <c r="Y159" s="1697"/>
      <c r="Z159" s="1697"/>
      <c r="AA159" s="1697"/>
      <c r="AB159" s="1697"/>
      <c r="AC159" s="1697"/>
      <c r="AD159" s="1697"/>
      <c r="AE159" s="1697"/>
      <c r="AF159" s="1697"/>
      <c r="AG159" s="1697"/>
      <c r="AH159" s="1697"/>
      <c r="BN159" s="47" t="s">
        <v>80</v>
      </c>
      <c r="BT159" s="16" t="s">
        <v>432</v>
      </c>
    </row>
    <row r="160" spans="1:72" ht="12.75" customHeight="1">
      <c r="D160" s="42" t="s">
        <v>714</v>
      </c>
      <c r="F160" s="42"/>
      <c r="G160" s="42"/>
      <c r="H160" s="42"/>
      <c r="I160" s="42"/>
      <c r="J160" s="42"/>
      <c r="K160" s="42"/>
      <c r="L160" s="42"/>
      <c r="M160" s="42"/>
      <c r="N160" s="42"/>
      <c r="O160" s="1957" t="s">
        <v>2336</v>
      </c>
      <c r="P160" s="1957"/>
      <c r="Q160" s="1957"/>
      <c r="R160" s="1957"/>
      <c r="S160" s="1957"/>
      <c r="T160" s="1957"/>
      <c r="U160" s="1957"/>
      <c r="V160" s="1957"/>
      <c r="W160" s="1957"/>
      <c r="X160" s="195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045">
        <v>90640</v>
      </c>
      <c r="P161" s="2045"/>
      <c r="Q161" s="2045"/>
      <c r="R161" s="204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047" t="s">
        <v>2337</v>
      </c>
      <c r="P162" s="2047"/>
      <c r="Q162" s="2047"/>
      <c r="R162" s="2047"/>
      <c r="S162" s="2047"/>
      <c r="T162" s="2047"/>
      <c r="V162" s="271" t="s">
        <v>12</v>
      </c>
      <c r="W162" s="2046"/>
      <c r="X162" s="204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047" t="s">
        <v>2338</v>
      </c>
      <c r="P163" s="2047"/>
      <c r="Q163" s="2047"/>
      <c r="R163" s="2047"/>
      <c r="S163" s="2047"/>
      <c r="T163" s="204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954" t="s">
        <v>2339</v>
      </c>
      <c r="P164" s="1954"/>
      <c r="Q164" s="1954"/>
      <c r="R164" s="1954"/>
      <c r="S164" s="1954"/>
      <c r="T164" s="1954"/>
      <c r="U164" s="1954"/>
      <c r="V164" s="1954"/>
      <c r="W164" s="1954"/>
      <c r="X164" s="1954"/>
      <c r="Y164" s="1954"/>
      <c r="Z164" s="1954"/>
      <c r="AA164" s="1954"/>
      <c r="AB164" s="1954"/>
      <c r="AC164" s="1954"/>
      <c r="AD164" s="1954"/>
      <c r="AE164" s="1954"/>
      <c r="AF164" s="1954"/>
      <c r="AG164" s="1954"/>
      <c r="AH164" s="195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053" t="s">
        <v>2202</v>
      </c>
      <c r="E167" s="2053"/>
      <c r="F167" s="2053"/>
      <c r="G167" s="2053"/>
      <c r="H167" s="2053"/>
      <c r="I167" s="2053"/>
      <c r="J167" s="2053"/>
      <c r="K167" s="2053"/>
      <c r="L167" s="2053"/>
      <c r="M167" s="2053"/>
      <c r="N167" s="2053"/>
      <c r="O167" s="2053"/>
      <c r="P167" s="2053"/>
      <c r="Q167" s="2053"/>
      <c r="R167" s="2053"/>
      <c r="S167" s="2053"/>
      <c r="T167" s="2053"/>
      <c r="U167" s="2053"/>
      <c r="V167" s="2053"/>
      <c r="W167" s="2053"/>
      <c r="X167" s="2053"/>
      <c r="Y167" s="20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975" t="s">
        <v>423</v>
      </c>
      <c r="B169" s="1975"/>
      <c r="C169" s="1975"/>
      <c r="D169" s="1975"/>
      <c r="E169" s="1975"/>
      <c r="F169" s="1975"/>
      <c r="G169" s="1975"/>
      <c r="H169" s="1975"/>
      <c r="I169" s="1975"/>
      <c r="J169" s="1975"/>
      <c r="K169" s="1975"/>
      <c r="L169" s="1975"/>
      <c r="M169" s="1975"/>
      <c r="N169" s="1975"/>
      <c r="O169" s="1975"/>
      <c r="P169" s="1975"/>
      <c r="Q169" s="1975"/>
      <c r="R169" s="1975"/>
      <c r="S169" s="1975"/>
      <c r="T169" s="1975"/>
      <c r="U169" s="1975"/>
      <c r="V169" s="1975"/>
      <c r="W169" s="1975"/>
      <c r="X169" s="1975"/>
      <c r="Y169" s="1975"/>
      <c r="Z169" s="1975"/>
      <c r="AA169" s="1975"/>
      <c r="AB169" s="1975"/>
      <c r="AC169" s="1975"/>
      <c r="AD169" s="1975"/>
      <c r="AE169" s="1975"/>
      <c r="AF169" s="1975"/>
      <c r="AG169" s="1975"/>
      <c r="AH169" s="1975"/>
      <c r="AI169" s="1975"/>
      <c r="AJ169" s="1975"/>
      <c r="AK169" s="1975"/>
      <c r="AL169" s="1975"/>
      <c r="BN169" s="47" t="s">
        <v>535</v>
      </c>
      <c r="BT169" s="16" t="s">
        <v>442</v>
      </c>
    </row>
    <row r="170" spans="1:72" ht="12.75" customHeight="1" thickBot="1">
      <c r="A170" s="1976"/>
      <c r="B170" s="1976"/>
      <c r="C170" s="1976"/>
      <c r="D170" s="1976"/>
      <c r="E170" s="1976"/>
      <c r="F170" s="1976"/>
      <c r="G170" s="1976"/>
      <c r="H170" s="1976"/>
      <c r="I170" s="1976"/>
      <c r="J170" s="1976"/>
      <c r="K170" s="1976"/>
      <c r="L170" s="1976"/>
      <c r="M170" s="1976"/>
      <c r="N170" s="1976"/>
      <c r="O170" s="1976"/>
      <c r="P170" s="1976"/>
      <c r="Q170" s="1976"/>
      <c r="R170" s="1976"/>
      <c r="S170" s="1976"/>
      <c r="T170" s="1976"/>
      <c r="U170" s="1976"/>
      <c r="V170" s="1976"/>
      <c r="W170" s="1976"/>
      <c r="X170" s="1976"/>
      <c r="Y170" s="1976"/>
      <c r="Z170" s="1976"/>
      <c r="AA170" s="1976"/>
      <c r="AB170" s="1976"/>
      <c r="AC170" s="1976"/>
      <c r="AD170" s="1976"/>
      <c r="AE170" s="1976"/>
      <c r="AF170" s="1976"/>
      <c r="AG170" s="1976"/>
      <c r="AH170" s="1976"/>
      <c r="AI170" s="1976"/>
      <c r="AJ170" s="1976"/>
      <c r="AK170" s="1976"/>
      <c r="AL170" s="1976"/>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050" t="s">
        <v>563</v>
      </c>
      <c r="K173" s="2050"/>
      <c r="L173" s="2050"/>
      <c r="M173" s="2050"/>
      <c r="N173" s="2050"/>
      <c r="O173" s="2050"/>
      <c r="P173" s="2050"/>
      <c r="Q173" s="2050"/>
      <c r="R173" s="2050"/>
      <c r="S173" s="2050"/>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96"/>
      <c r="V174" s="1696"/>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712"/>
      <c r="V175" s="1712"/>
      <c r="W175" s="4" t="s">
        <v>259</v>
      </c>
      <c r="X175" s="2052"/>
      <c r="Y175" s="2052"/>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96"/>
      <c r="V176" s="1696"/>
      <c r="W176" s="3"/>
      <c r="X176" s="3"/>
      <c r="Y176" s="3"/>
      <c r="AD176" s="35"/>
      <c r="AF176" s="35"/>
      <c r="AH176" s="35"/>
      <c r="AJ176" s="3"/>
      <c r="AK176" s="3"/>
      <c r="AL176" s="3"/>
      <c r="BN176" s="47" t="s">
        <v>663</v>
      </c>
      <c r="BT176" s="16" t="s">
        <v>449</v>
      </c>
    </row>
    <row r="177" spans="1:72" ht="13.2">
      <c r="A177" s="35"/>
      <c r="C177" s="54"/>
      <c r="D177" s="596" t="s">
        <v>1365</v>
      </c>
      <c r="AD177" s="35"/>
      <c r="AF177" s="35"/>
      <c r="AH177" s="35"/>
      <c r="AJ177" s="3"/>
      <c r="AK177" s="3"/>
      <c r="AL177" s="3"/>
      <c r="BN177" s="47" t="s">
        <v>664</v>
      </c>
      <c r="BT177" s="16" t="s">
        <v>450</v>
      </c>
    </row>
    <row r="178" spans="1:72" ht="13.2">
      <c r="A178" s="35"/>
      <c r="C178" s="54"/>
      <c r="E178" s="782" t="s">
        <v>257</v>
      </c>
      <c r="F178" s="597"/>
      <c r="G178" s="782"/>
      <c r="H178" s="782" t="s">
        <v>258</v>
      </c>
      <c r="I178" s="597"/>
      <c r="J178" s="1951"/>
      <c r="K178" s="1951"/>
      <c r="L178" s="781" t="s">
        <v>259</v>
      </c>
      <c r="M178" s="1815"/>
      <c r="N178" s="1815"/>
      <c r="O178" s="597"/>
      <c r="P178" s="597"/>
      <c r="Q178" s="597"/>
      <c r="R178" s="597"/>
      <c r="U178" s="743" t="s">
        <v>1366</v>
      </c>
      <c r="V178" s="597"/>
      <c r="W178" s="782"/>
      <c r="X178" s="782"/>
      <c r="Y178" s="782"/>
      <c r="Z178" s="782"/>
      <c r="AA178" s="782"/>
      <c r="AB178" s="782"/>
      <c r="AD178" s="1952"/>
      <c r="AE178" s="1952"/>
      <c r="AF178" s="1952"/>
      <c r="AG178" s="1952"/>
      <c r="AH178" s="1952"/>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96"/>
      <c r="Z180" s="2048"/>
      <c r="AE180" s="35"/>
      <c r="AJ180" s="3"/>
      <c r="AK180" s="3"/>
      <c r="AL180" s="3"/>
      <c r="BN180" s="47" t="s">
        <v>668</v>
      </c>
      <c r="BT180" s="16" t="s">
        <v>453</v>
      </c>
    </row>
    <row r="181" spans="1:72" ht="13.2">
      <c r="A181" s="35"/>
      <c r="C181" s="55"/>
      <c r="D181" s="57"/>
      <c r="E181" s="596" t="s">
        <v>1364</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700" t="str">
        <f>H17</f>
        <v>6th Street Grand</v>
      </c>
      <c r="J184" s="1700"/>
      <c r="K184" s="1700"/>
      <c r="L184" s="1700"/>
      <c r="M184" s="1700"/>
      <c r="N184" s="1700"/>
      <c r="O184" s="1700"/>
      <c r="P184" s="1700"/>
      <c r="Q184" s="1700"/>
      <c r="R184" s="1700"/>
      <c r="S184" s="1700"/>
      <c r="T184" s="1700"/>
      <c r="U184" s="1700"/>
      <c r="V184" s="1700"/>
      <c r="W184" s="1700"/>
      <c r="X184" s="1700"/>
      <c r="Y184" s="1700"/>
      <c r="Z184" s="1700"/>
      <c r="AA184" s="1700"/>
      <c r="AB184" s="1700"/>
      <c r="AC184" s="1700"/>
      <c r="AD184" s="1700"/>
      <c r="AE184" s="1700"/>
      <c r="AF184" s="35"/>
      <c r="AH184" s="35"/>
      <c r="AJ184" s="3"/>
      <c r="AK184" s="3"/>
      <c r="AL184" s="3"/>
      <c r="BC184" s="35" t="s">
        <v>132</v>
      </c>
      <c r="BN184" s="47" t="s">
        <v>634</v>
      </c>
      <c r="BT184" s="16" t="s">
        <v>457</v>
      </c>
    </row>
    <row r="185" spans="1:72" ht="13.2">
      <c r="A185" s="35"/>
      <c r="C185" s="58"/>
      <c r="D185" s="35" t="s">
        <v>478</v>
      </c>
      <c r="E185" s="35"/>
      <c r="F185" s="35"/>
      <c r="G185" s="35"/>
      <c r="H185" s="35"/>
      <c r="I185" s="1705" t="s">
        <v>2340</v>
      </c>
      <c r="J185" s="1705"/>
      <c r="K185" s="1705"/>
      <c r="L185" s="1705"/>
      <c r="M185" s="1705"/>
      <c r="N185" s="1705"/>
      <c r="O185" s="1705"/>
      <c r="P185" s="1705"/>
      <c r="Q185" s="1705"/>
      <c r="R185" s="1705"/>
      <c r="S185" s="1705"/>
      <c r="T185" s="1705"/>
      <c r="U185" s="1705"/>
      <c r="V185" s="1705"/>
      <c r="W185" s="1705"/>
      <c r="X185" s="1705"/>
      <c r="Y185" s="1705"/>
      <c r="Z185" s="1705"/>
      <c r="AA185" s="1705"/>
      <c r="AB185" s="1705"/>
      <c r="AC185" s="1705"/>
      <c r="AD185" s="1705"/>
      <c r="AE185" s="1705"/>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832"/>
      <c r="F187" s="1832"/>
      <c r="G187" s="1832"/>
      <c r="H187" s="1832"/>
      <c r="I187" s="1832"/>
      <c r="J187" s="1832"/>
      <c r="K187" s="1832"/>
      <c r="L187" s="1832"/>
      <c r="M187" s="1832"/>
      <c r="N187" s="1832"/>
      <c r="O187" s="1832"/>
      <c r="P187" s="1832"/>
      <c r="Q187" s="1832"/>
      <c r="R187" s="1832"/>
      <c r="S187" s="1832"/>
      <c r="T187" s="1832"/>
      <c r="U187" s="1832"/>
      <c r="V187" s="1832"/>
      <c r="W187" s="1832"/>
      <c r="X187" s="1832"/>
      <c r="Y187" s="1832"/>
      <c r="Z187" s="1832"/>
      <c r="AA187" s="1832"/>
      <c r="AB187" s="1832"/>
      <c r="AC187" s="1832"/>
      <c r="AD187" s="1832"/>
      <c r="AE187" s="1832"/>
      <c r="AF187" s="35"/>
      <c r="AH187" s="35"/>
      <c r="AJ187" s="3"/>
      <c r="AK187" s="3"/>
      <c r="AL187" s="3"/>
      <c r="BN187" s="47" t="s">
        <v>637</v>
      </c>
      <c r="BT187" s="16" t="s">
        <v>923</v>
      </c>
    </row>
    <row r="188" spans="1:72" ht="13.2">
      <c r="A188" s="35"/>
      <c r="C188" s="58"/>
      <c r="D188" s="35"/>
      <c r="E188" s="1833"/>
      <c r="F188" s="1833"/>
      <c r="G188" s="1833"/>
      <c r="H188" s="1833"/>
      <c r="I188" s="1833"/>
      <c r="J188" s="1833"/>
      <c r="K188" s="1833"/>
      <c r="L188" s="1833"/>
      <c r="M188" s="1833"/>
      <c r="N188" s="1833"/>
      <c r="O188" s="1833"/>
      <c r="P188" s="1833"/>
      <c r="Q188" s="1833"/>
      <c r="R188" s="1833"/>
      <c r="S188" s="1833"/>
      <c r="T188" s="1833"/>
      <c r="U188" s="1833"/>
      <c r="V188" s="1833"/>
      <c r="W188" s="1833"/>
      <c r="X188" s="1833"/>
      <c r="Y188" s="1833"/>
      <c r="Z188" s="1833"/>
      <c r="AA188" s="1833"/>
      <c r="AB188" s="1833"/>
      <c r="AC188" s="1833"/>
      <c r="AD188" s="1833"/>
      <c r="AE188" s="1833"/>
      <c r="AF188" s="35"/>
      <c r="AH188" s="35"/>
      <c r="AJ188" s="3"/>
      <c r="AK188" s="3"/>
      <c r="AL188" s="3"/>
      <c r="BN188" s="47" t="s">
        <v>639</v>
      </c>
      <c r="BT188" s="16" t="s">
        <v>924</v>
      </c>
    </row>
    <row r="189" spans="1:72" ht="13.2">
      <c r="A189" s="35"/>
      <c r="C189" s="58"/>
      <c r="D189" s="35" t="s">
        <v>479</v>
      </c>
      <c r="E189" s="35"/>
      <c r="I189" s="1697" t="s">
        <v>2336</v>
      </c>
      <c r="J189" s="1697"/>
      <c r="K189" s="1697"/>
      <c r="L189" s="1697"/>
      <c r="M189" s="1697"/>
      <c r="N189" s="1697"/>
      <c r="O189" s="1697"/>
      <c r="P189" s="1697"/>
      <c r="Q189" s="35" t="s">
        <v>481</v>
      </c>
      <c r="T189" s="1697" t="s">
        <v>448</v>
      </c>
      <c r="U189" s="1697"/>
      <c r="V189" s="1697"/>
      <c r="W189" s="1697"/>
      <c r="X189" s="1697"/>
      <c r="Y189" s="1697"/>
      <c r="Z189" s="1697"/>
      <c r="AA189" s="1697"/>
      <c r="AB189" s="1697"/>
      <c r="AC189" s="1697"/>
      <c r="AD189" s="1697"/>
      <c r="AE189" s="1697"/>
      <c r="AH189" s="35"/>
      <c r="AJ189" s="3"/>
      <c r="AK189" s="3"/>
      <c r="AL189" s="3"/>
      <c r="BC189" s="16" t="s">
        <v>86</v>
      </c>
      <c r="BH189" s="72" t="s">
        <v>136</v>
      </c>
      <c r="BN189" s="47" t="s">
        <v>640</v>
      </c>
      <c r="BT189" s="16" t="s">
        <v>120</v>
      </c>
    </row>
    <row r="190" spans="1:72" ht="13.2">
      <c r="A190" s="35"/>
      <c r="C190" s="59"/>
      <c r="D190" s="35" t="s">
        <v>482</v>
      </c>
      <c r="E190" s="35"/>
      <c r="F190" s="35"/>
      <c r="G190" s="35"/>
      <c r="I190" s="1705">
        <v>90640</v>
      </c>
      <c r="J190" s="1705"/>
      <c r="K190" s="1705"/>
      <c r="L190" s="1705"/>
      <c r="M190" s="1705"/>
      <c r="N190" s="1705"/>
      <c r="O190" s="35" t="s">
        <v>484</v>
      </c>
      <c r="P190" s="35"/>
      <c r="Q190" s="35"/>
      <c r="R190" s="35"/>
      <c r="S190" s="35"/>
      <c r="T190" s="2051">
        <v>5321.01</v>
      </c>
      <c r="U190" s="2051"/>
      <c r="V190" s="2051"/>
      <c r="W190" s="2051"/>
      <c r="X190" s="2051"/>
      <c r="Y190" s="2051"/>
      <c r="Z190" s="2051"/>
      <c r="AA190" s="2051"/>
      <c r="AB190" s="2051"/>
      <c r="AC190" s="2051"/>
      <c r="AD190" s="2051"/>
      <c r="AE190" s="2051"/>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43" t="s">
        <v>2341</v>
      </c>
      <c r="O191" s="2044"/>
      <c r="P191" s="2044"/>
      <c r="Q191" s="2044"/>
      <c r="R191" s="2044"/>
      <c r="S191" s="2044"/>
      <c r="T191" s="2044"/>
      <c r="U191" s="2044"/>
      <c r="V191" s="2044"/>
      <c r="W191" s="2044"/>
      <c r="X191" s="2044"/>
      <c r="Y191" s="2044"/>
      <c r="Z191" s="2044"/>
      <c r="AA191" s="2044"/>
      <c r="AB191" s="2044"/>
      <c r="AC191" s="2044"/>
      <c r="AD191" s="2044"/>
      <c r="AE191" s="2044"/>
      <c r="AF191" s="35"/>
      <c r="AH191" s="35"/>
      <c r="AJ191" s="3"/>
      <c r="AK191" s="3"/>
      <c r="AL191" s="3"/>
      <c r="BC191" s="16" t="s">
        <v>1585</v>
      </c>
      <c r="BH191" s="16" t="s">
        <v>1585</v>
      </c>
      <c r="BN191" s="47" t="s">
        <v>642</v>
      </c>
      <c r="BT191" s="16" t="s">
        <v>122</v>
      </c>
    </row>
    <row r="192" spans="1:72" ht="13.2">
      <c r="A192" s="35"/>
      <c r="C192" s="59"/>
      <c r="D192" s="35"/>
      <c r="E192" s="35"/>
      <c r="F192" s="35"/>
      <c r="G192" s="35"/>
      <c r="H192" s="35"/>
      <c r="I192" s="35"/>
      <c r="J192" s="35"/>
      <c r="K192" s="35"/>
      <c r="L192" s="35"/>
      <c r="M192" s="316"/>
      <c r="N192" s="1833"/>
      <c r="O192" s="1833"/>
      <c r="P192" s="1833"/>
      <c r="Q192" s="1833"/>
      <c r="R192" s="1833"/>
      <c r="S192" s="1833"/>
      <c r="T192" s="1833"/>
      <c r="U192" s="1833"/>
      <c r="V192" s="1833"/>
      <c r="W192" s="1833"/>
      <c r="X192" s="1833"/>
      <c r="Y192" s="1833"/>
      <c r="Z192" s="1833"/>
      <c r="AA192" s="1833"/>
      <c r="AB192" s="1833"/>
      <c r="AC192" s="1833"/>
      <c r="AD192" s="1833"/>
      <c r="AE192" s="1833"/>
      <c r="AF192" s="35"/>
      <c r="AH192" s="35"/>
      <c r="AJ192" s="3"/>
      <c r="AK192" s="3"/>
      <c r="AL192" s="3"/>
      <c r="BC192" s="16" t="s">
        <v>730</v>
      </c>
      <c r="BH192" s="8" t="s">
        <v>1592</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96" t="s">
        <v>531</v>
      </c>
      <c r="U193" s="1696"/>
      <c r="W193" s="72" t="s">
        <v>2159</v>
      </c>
      <c r="AA193" s="2083"/>
      <c r="AB193" s="2083"/>
      <c r="AC193" s="2083"/>
      <c r="AJ193" s="3"/>
      <c r="AK193" s="3"/>
      <c r="AL193" s="3"/>
      <c r="BC193" s="16" t="s">
        <v>624</v>
      </c>
      <c r="BH193" s="8" t="s">
        <v>1593</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664" t="s">
        <v>531</v>
      </c>
      <c r="U194" s="1664"/>
      <c r="W194" s="35" t="s">
        <v>68</v>
      </c>
      <c r="X194" s="35"/>
      <c r="Y194" s="35"/>
      <c r="Z194" s="35"/>
      <c r="AA194" s="35"/>
      <c r="AB194" s="35"/>
      <c r="AC194" s="35"/>
      <c r="AD194" s="35"/>
      <c r="AE194" s="35"/>
      <c r="AF194" s="35"/>
      <c r="AG194" s="35"/>
      <c r="AH194" s="35"/>
      <c r="AI194" s="1696" t="s">
        <v>531</v>
      </c>
      <c r="AJ194" s="1696"/>
      <c r="AK194" s="3"/>
      <c r="AL194" s="3"/>
      <c r="AX194" s="8" t="s">
        <v>136</v>
      </c>
      <c r="BC194" s="16" t="s">
        <v>681</v>
      </c>
      <c r="BN194" s="47" t="s">
        <v>825</v>
      </c>
      <c r="BT194" s="16" t="s">
        <v>125</v>
      </c>
    </row>
    <row r="195" spans="1:73" ht="13.2">
      <c r="A195" s="35"/>
      <c r="C195" s="59"/>
      <c r="D195" s="1102" t="s">
        <v>1961</v>
      </c>
      <c r="E195" s="3"/>
      <c r="F195" s="3"/>
      <c r="G195" s="3"/>
      <c r="H195" s="3"/>
      <c r="I195" s="3"/>
      <c r="J195" s="3"/>
      <c r="K195" s="3"/>
      <c r="L195" s="3"/>
      <c r="M195" s="3"/>
      <c r="N195" s="35"/>
      <c r="O195" s="35"/>
      <c r="P195" s="35"/>
      <c r="Q195" s="35"/>
      <c r="R195" s="35"/>
      <c r="T195" s="1664" t="s">
        <v>531</v>
      </c>
      <c r="U195" s="1664"/>
      <c r="X195" s="1354" t="s">
        <v>2182</v>
      </c>
      <c r="AJ195" s="3"/>
      <c r="AK195" s="3"/>
      <c r="AL195" s="3"/>
      <c r="AX195" s="8" t="s">
        <v>1275</v>
      </c>
      <c r="BN195" s="47" t="s">
        <v>826</v>
      </c>
      <c r="BT195" s="16" t="s">
        <v>126</v>
      </c>
    </row>
    <row r="196" spans="1:73" ht="13.2">
      <c r="A196" s="35"/>
      <c r="C196" s="59"/>
      <c r="D196" s="74" t="s">
        <v>1282</v>
      </c>
      <c r="E196" s="35"/>
      <c r="F196" s="35"/>
      <c r="G196" s="35"/>
      <c r="H196" s="35"/>
      <c r="I196" s="35"/>
      <c r="J196" s="35"/>
      <c r="K196" s="35"/>
      <c r="L196" s="35"/>
      <c r="M196" s="35"/>
      <c r="N196" s="35"/>
      <c r="O196" s="35"/>
      <c r="P196" s="35"/>
      <c r="Q196" s="35"/>
      <c r="R196" s="35"/>
      <c r="T196" s="1664" t="s">
        <v>531</v>
      </c>
      <c r="U196" s="1664"/>
      <c r="AJ196" s="3"/>
      <c r="AK196" s="3"/>
      <c r="AL196" s="3"/>
      <c r="AX196" s="8" t="s">
        <v>1276</v>
      </c>
      <c r="BN196" s="47" t="s">
        <v>827</v>
      </c>
      <c r="BT196" s="16" t="s">
        <v>127</v>
      </c>
    </row>
    <row r="197" spans="1:73" ht="13.2">
      <c r="A197" s="35"/>
      <c r="C197" s="59"/>
      <c r="D197" s="72" t="s">
        <v>2160</v>
      </c>
      <c r="T197" s="1696" t="s">
        <v>531</v>
      </c>
      <c r="U197" s="1696"/>
      <c r="AJ197" s="3"/>
      <c r="AK197" s="3"/>
      <c r="AL197" s="3"/>
      <c r="AX197" s="8" t="s">
        <v>1277</v>
      </c>
      <c r="BC197" s="16" t="s">
        <v>86</v>
      </c>
      <c r="BN197" s="47" t="s">
        <v>828</v>
      </c>
      <c r="BT197" s="16" t="s">
        <v>128</v>
      </c>
    </row>
    <row r="198" spans="1:73" ht="13.2">
      <c r="A198" s="35"/>
      <c r="C198" s="59"/>
      <c r="D198" s="1102" t="s">
        <v>2192</v>
      </c>
      <c r="W198" s="1847" t="s">
        <v>531</v>
      </c>
      <c r="X198" s="1696"/>
      <c r="AG198" s="35"/>
      <c r="AH198" s="3"/>
      <c r="AI198" s="3"/>
      <c r="AJ198" s="3"/>
      <c r="AK198" s="3"/>
      <c r="AL198" s="3"/>
      <c r="AX198" s="8" t="s">
        <v>1278</v>
      </c>
      <c r="BC198" s="645" t="s">
        <v>1222</v>
      </c>
      <c r="BN198" s="47" t="s">
        <v>829</v>
      </c>
      <c r="BT198" s="16" t="s">
        <v>885</v>
      </c>
    </row>
    <row r="199" spans="1:73" ht="13.2">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2">
      <c r="A203" s="35"/>
      <c r="C203" s="35"/>
      <c r="D203" s="1700" t="str">
        <f>IF(AND(M25&gt;0,M27&gt;0),"Federal and State","Federal Only")</f>
        <v>Federal and State</v>
      </c>
      <c r="E203" s="1700"/>
      <c r="F203" s="1700"/>
      <c r="G203" s="1700"/>
      <c r="H203" s="1700"/>
      <c r="I203" s="1700"/>
      <c r="J203" s="1700"/>
      <c r="K203" s="1700"/>
      <c r="L203" s="1700"/>
      <c r="M203" s="1700"/>
      <c r="P203" s="1960">
        <f>M25</f>
        <v>2140815</v>
      </c>
      <c r="Q203" s="1960"/>
      <c r="R203" s="1960"/>
      <c r="S203" s="1960"/>
      <c r="T203" s="1960"/>
      <c r="U203" s="1960"/>
      <c r="V203" s="35"/>
      <c r="W203" s="1960">
        <f>M27</f>
        <v>7136049</v>
      </c>
      <c r="X203" s="1960"/>
      <c r="Y203" s="1960"/>
      <c r="Z203" s="1960"/>
      <c r="AA203" s="1960"/>
      <c r="AB203" s="1960"/>
      <c r="AD203" s="35"/>
      <c r="AE203" s="35"/>
      <c r="AF203" s="35"/>
      <c r="AG203" s="35"/>
      <c r="AH203" s="35"/>
      <c r="AI203" s="35"/>
      <c r="AJ203" s="3"/>
      <c r="AK203" s="3"/>
      <c r="AL203" s="3"/>
      <c r="AV203" s="16" t="s">
        <v>136</v>
      </c>
      <c r="AX203" s="8" t="s">
        <v>730</v>
      </c>
      <c r="BC203" s="3" t="s">
        <v>1603</v>
      </c>
      <c r="BN203" s="47" t="s">
        <v>727</v>
      </c>
      <c r="BT203" s="69" t="s">
        <v>890</v>
      </c>
      <c r="BU203" s="65"/>
    </row>
    <row r="204" spans="1:73" ht="13.2">
      <c r="A204" s="35"/>
      <c r="C204" s="58"/>
      <c r="E204" s="35"/>
      <c r="F204" s="35"/>
      <c r="G204" s="35"/>
      <c r="P204" s="1969" t="s">
        <v>192</v>
      </c>
      <c r="Q204" s="1969"/>
      <c r="R204" s="1969"/>
      <c r="S204" s="1969"/>
      <c r="T204" s="1969"/>
      <c r="U204" s="1969"/>
      <c r="V204" s="60"/>
      <c r="W204" s="1969" t="s">
        <v>193</v>
      </c>
      <c r="X204" s="1969"/>
      <c r="Y204" s="1969"/>
      <c r="Z204" s="1969"/>
      <c r="AA204" s="1969"/>
      <c r="AB204" s="1969"/>
      <c r="AD204" s="35"/>
      <c r="AE204" s="35"/>
      <c r="AF204" s="35"/>
      <c r="AG204" s="35"/>
      <c r="AH204" s="35"/>
      <c r="AI204" s="35"/>
      <c r="AJ204" s="3"/>
      <c r="AK204" s="3"/>
      <c r="AL204" s="3"/>
      <c r="AV204" s="16" t="s">
        <v>119</v>
      </c>
      <c r="AX204" s="8" t="s">
        <v>1531</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3"/>
      <c r="Y206" s="1364"/>
      <c r="Z206" s="1364"/>
      <c r="AA206" s="1364"/>
      <c r="AB206" s="1364"/>
      <c r="AC206" s="1364"/>
      <c r="AD206" s="1364"/>
      <c r="AE206" s="1364"/>
      <c r="AF206" s="1364"/>
      <c r="AG206" s="1364"/>
      <c r="AH206" s="1364"/>
      <c r="AI206" s="1364"/>
      <c r="AJ206" s="1364"/>
      <c r="AK206" s="1365"/>
      <c r="AL206" s="3"/>
      <c r="BC206" s="273" t="s">
        <v>1607</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6"/>
      <c r="Y207" s="1367"/>
      <c r="Z207" s="1367"/>
      <c r="AA207" s="1367"/>
      <c r="AB207" s="1367"/>
      <c r="AC207" s="1367"/>
      <c r="AD207" s="1367"/>
      <c r="AE207" s="1367"/>
      <c r="AF207" s="1367"/>
      <c r="AG207" s="1367"/>
      <c r="AH207" s="1367"/>
      <c r="AI207" s="1367"/>
      <c r="AJ207" s="1367"/>
      <c r="AK207" s="1368"/>
      <c r="AL207" s="3"/>
      <c r="BC207" s="272" t="s">
        <v>1990</v>
      </c>
      <c r="BN207" s="47" t="s">
        <v>1</v>
      </c>
      <c r="BT207" s="69" t="s">
        <v>893</v>
      </c>
    </row>
    <row r="208" spans="1:73" ht="13.2">
      <c r="A208" s="35"/>
      <c r="C208" s="58"/>
      <c r="D208" s="1955" t="s">
        <v>2342</v>
      </c>
      <c r="E208" s="1955"/>
      <c r="F208" s="1955"/>
      <c r="G208" s="1955"/>
      <c r="H208" s="1955"/>
      <c r="I208" s="1955"/>
      <c r="J208" s="1955"/>
      <c r="K208" s="1955"/>
      <c r="L208" s="1955"/>
      <c r="M208" s="1955"/>
      <c r="N208" s="35"/>
      <c r="O208" s="35"/>
      <c r="P208" s="35"/>
      <c r="Q208" s="35"/>
      <c r="R208" s="35"/>
      <c r="S208" s="35"/>
      <c r="T208" s="35"/>
      <c r="U208" s="35"/>
      <c r="V208" s="35"/>
      <c r="W208" s="35"/>
      <c r="X208" s="1366"/>
      <c r="Y208" s="1367"/>
      <c r="Z208" s="1367"/>
      <c r="AA208" s="1367"/>
      <c r="AB208" s="1367"/>
      <c r="AC208" s="1367"/>
      <c r="AD208" s="1367"/>
      <c r="AE208" s="1367"/>
      <c r="AF208" s="1367"/>
      <c r="AG208" s="1367"/>
      <c r="AH208" s="1367"/>
      <c r="AI208" s="1367"/>
      <c r="AJ208" s="1367"/>
      <c r="AK208" s="1368"/>
      <c r="AL208" s="3"/>
      <c r="BC208" s="3" t="s">
        <v>1604</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66"/>
      <c r="Y209" s="1367"/>
      <c r="Z209" s="1367"/>
      <c r="AA209" s="1367"/>
      <c r="AB209" s="1367"/>
      <c r="AC209" s="1367"/>
      <c r="AD209" s="1367"/>
      <c r="AE209" s="1367"/>
      <c r="AF209" s="1367"/>
      <c r="AG209" s="1367"/>
      <c r="AH209" s="1367"/>
      <c r="AI209" s="1367"/>
      <c r="AJ209" s="1367"/>
      <c r="AK209" s="1368"/>
      <c r="AL209" s="3"/>
      <c r="BC209" s="272" t="s">
        <v>81</v>
      </c>
      <c r="BN209" s="47" t="s">
        <v>3</v>
      </c>
      <c r="BT209" s="69" t="s">
        <v>895</v>
      </c>
    </row>
    <row r="210" spans="1:72" ht="13.2">
      <c r="A210" s="63" t="s">
        <v>135</v>
      </c>
      <c r="C210" s="63" t="s">
        <v>1273</v>
      </c>
      <c r="X210" s="1366"/>
      <c r="Y210" s="1369"/>
      <c r="Z210" s="1367"/>
      <c r="AA210" s="1367"/>
      <c r="AB210" s="1367"/>
      <c r="AC210" s="1367"/>
      <c r="AD210" s="1367"/>
      <c r="AE210" s="1367"/>
      <c r="AF210" s="1367"/>
      <c r="AG210" s="1367"/>
      <c r="AH210" s="1367"/>
      <c r="AI210" s="1367"/>
      <c r="AJ210" s="1367"/>
      <c r="AK210" s="1368"/>
      <c r="AL210" s="3"/>
      <c r="BN210" s="47" t="s">
        <v>4</v>
      </c>
      <c r="BT210" s="69" t="s">
        <v>896</v>
      </c>
    </row>
    <row r="211" spans="1:72" ht="13.2">
      <c r="C211" s="58"/>
      <c r="D211" s="1955" t="s">
        <v>1276</v>
      </c>
      <c r="E211" s="1955"/>
      <c r="F211" s="1955"/>
      <c r="G211" s="1955"/>
      <c r="H211" s="1955"/>
      <c r="I211" s="1955"/>
      <c r="J211" s="1955"/>
      <c r="K211" s="1955"/>
      <c r="L211" s="1955"/>
      <c r="M211" s="1955"/>
      <c r="N211" s="1955"/>
      <c r="O211" s="1955"/>
      <c r="P211" s="1955"/>
      <c r="X211" s="1366"/>
      <c r="Y211" s="1696"/>
      <c r="Z211" s="1696"/>
      <c r="AA211" s="1367"/>
      <c r="AB211" s="1367"/>
      <c r="AC211" s="1367"/>
      <c r="AD211" s="1367"/>
      <c r="AE211" s="1367"/>
      <c r="AF211" s="1367"/>
      <c r="AG211" s="1367"/>
      <c r="AH211" s="1367"/>
      <c r="AI211" s="1367"/>
      <c r="AJ211" s="1367"/>
      <c r="AK211" s="1368"/>
      <c r="AL211" s="3"/>
      <c r="BN211" s="47" t="s">
        <v>21</v>
      </c>
      <c r="BT211" s="69" t="s">
        <v>22</v>
      </c>
    </row>
    <row r="212" spans="1:72" ht="13.8" thickBot="1">
      <c r="X212" s="1372"/>
      <c r="Y212" s="1370"/>
      <c r="Z212" s="1370"/>
      <c r="AA212" s="1370"/>
      <c r="AB212" s="1370"/>
      <c r="AC212" s="1370"/>
      <c r="AD212" s="1370"/>
      <c r="AE212" s="1370"/>
      <c r="AF212" s="1370"/>
      <c r="AG212" s="1370"/>
      <c r="AH212" s="1370"/>
      <c r="AI212" s="1370"/>
      <c r="AJ212" s="1370"/>
      <c r="AK212" s="1371"/>
      <c r="AL212" s="3"/>
      <c r="BC212" s="750" t="s">
        <v>86</v>
      </c>
      <c r="BN212" s="47" t="s">
        <v>5</v>
      </c>
      <c r="BT212" s="69" t="s">
        <v>897</v>
      </c>
    </row>
    <row r="213" spans="1:72" ht="13.2">
      <c r="A213" s="63" t="s">
        <v>137</v>
      </c>
      <c r="C213" s="63" t="s">
        <v>1586</v>
      </c>
      <c r="AG213" s="3"/>
      <c r="AJ213" s="3"/>
      <c r="AK213" s="3"/>
      <c r="AL213" s="3"/>
      <c r="BC213" s="16" t="s">
        <v>692</v>
      </c>
      <c r="BN213" s="47" t="s">
        <v>6</v>
      </c>
      <c r="BT213" s="69" t="s">
        <v>898</v>
      </c>
    </row>
    <row r="214" spans="1:72" ht="13.2">
      <c r="C214" s="58"/>
      <c r="D214" s="1955" t="s">
        <v>730</v>
      </c>
      <c r="E214" s="1955"/>
      <c r="F214" s="1955"/>
      <c r="G214" s="1955"/>
      <c r="H214" s="1955"/>
      <c r="I214" s="1955"/>
      <c r="J214" s="1955"/>
      <c r="K214" s="1955"/>
      <c r="L214" s="1955"/>
      <c r="M214" s="1955"/>
      <c r="N214" s="1955"/>
      <c r="O214" s="1955"/>
      <c r="P214" s="1955"/>
      <c r="Q214" s="1955"/>
      <c r="R214" s="1955"/>
      <c r="S214" s="1955"/>
      <c r="T214" s="1955"/>
      <c r="U214" s="1955"/>
      <c r="V214" s="1955"/>
      <c r="W214" s="1955"/>
      <c r="X214" s="1955"/>
      <c r="Y214" s="1955"/>
      <c r="Z214" s="1955"/>
      <c r="AG214" s="3"/>
      <c r="AJ214" s="3"/>
      <c r="AK214" s="3"/>
      <c r="AL214" s="3"/>
      <c r="BC214" s="16" t="s">
        <v>696</v>
      </c>
      <c r="BN214" s="47" t="s">
        <v>492</v>
      </c>
      <c r="BT214" s="69" t="s">
        <v>899</v>
      </c>
    </row>
    <row r="215" spans="1:72" ht="13.2">
      <c r="D215" s="64"/>
      <c r="E215" s="8" t="s">
        <v>1602</v>
      </c>
      <c r="AE215" s="1953">
        <v>0.5</v>
      </c>
      <c r="AF215" s="1953"/>
      <c r="AG215" s="3"/>
      <c r="AJ215" s="3"/>
      <c r="AK215" s="3"/>
      <c r="AL215" s="3"/>
      <c r="BC215" s="16" t="s">
        <v>693</v>
      </c>
    </row>
    <row r="216" spans="1:72" ht="12.75" customHeight="1">
      <c r="D216" s="64"/>
      <c r="E216" s="8" t="s">
        <v>1599</v>
      </c>
      <c r="AG216" s="3"/>
      <c r="AJ216" s="3"/>
      <c r="AK216" s="3"/>
      <c r="AL216" s="3"/>
      <c r="BC216" s="16" t="s">
        <v>812</v>
      </c>
    </row>
    <row r="217" spans="1:72" ht="13.2">
      <c r="E217" s="2042" t="s">
        <v>729</v>
      </c>
      <c r="F217" s="1833"/>
      <c r="G217" s="1833"/>
      <c r="H217" s="1833"/>
      <c r="I217" s="1833"/>
      <c r="J217" s="1833"/>
      <c r="K217" s="1833"/>
      <c r="L217" s="1833"/>
      <c r="M217" s="1833"/>
      <c r="N217" s="1833"/>
      <c r="O217" s="1833"/>
      <c r="P217" s="1833"/>
      <c r="Q217" s="1833"/>
      <c r="R217" s="1833"/>
      <c r="S217" s="1833"/>
      <c r="T217" s="1833"/>
      <c r="U217" s="1833"/>
      <c r="V217" s="1833"/>
      <c r="W217" s="1833"/>
      <c r="X217" s="1833"/>
      <c r="Y217" s="1833"/>
      <c r="Z217" s="1833"/>
      <c r="AA217" s="83"/>
      <c r="AB217" s="83"/>
      <c r="AC217" s="83"/>
      <c r="AD217" s="83"/>
      <c r="AE217" s="83"/>
      <c r="AF217" s="83"/>
      <c r="AG217" s="3"/>
      <c r="AJ217" s="3"/>
      <c r="AK217" s="3"/>
      <c r="AL217" s="3"/>
      <c r="BC217" s="16" t="s">
        <v>694</v>
      </c>
    </row>
    <row r="218" spans="1:72" ht="13.2">
      <c r="E218" s="72" t="s">
        <v>2257</v>
      </c>
      <c r="AA218" s="83"/>
      <c r="AC218" s="1849"/>
      <c r="AD218" s="1849"/>
      <c r="AE218" s="1849"/>
      <c r="AF218" s="1849"/>
      <c r="AG218" s="1849"/>
      <c r="AH218" s="1849"/>
      <c r="AI218" s="1849"/>
      <c r="AJ218" s="1849"/>
      <c r="AK218" s="1849"/>
      <c r="AL218" s="1849"/>
      <c r="AM218" s="1849"/>
      <c r="BC218" s="16" t="s">
        <v>695</v>
      </c>
      <c r="BI218" s="67"/>
    </row>
    <row r="219" spans="1:72" ht="12.75" customHeight="1">
      <c r="E219" s="72" t="s">
        <v>2258</v>
      </c>
      <c r="AA219" s="83"/>
      <c r="AC219" s="1849"/>
      <c r="AD219" s="1849"/>
      <c r="AE219" s="1849"/>
      <c r="AF219" s="1849"/>
      <c r="AG219" s="1849"/>
      <c r="AH219" s="1849"/>
      <c r="AI219" s="1849"/>
      <c r="AJ219" s="1849"/>
      <c r="AK219" s="1849"/>
      <c r="AL219" s="1849"/>
      <c r="AM219" s="184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57" t="s">
        <v>1223</v>
      </c>
      <c r="E223" s="1957"/>
      <c r="F223" s="1957"/>
      <c r="G223" s="1957"/>
      <c r="H223" s="1957"/>
      <c r="I223" s="1957"/>
      <c r="J223" s="1957"/>
      <c r="K223" s="1957"/>
      <c r="L223" s="1957"/>
      <c r="M223" s="1957"/>
      <c r="N223" s="1957"/>
      <c r="O223" s="1957"/>
      <c r="P223" s="1957"/>
      <c r="Q223" s="1957"/>
      <c r="R223" s="1957"/>
      <c r="S223" s="1957"/>
      <c r="T223" s="1957"/>
      <c r="U223" s="1957"/>
      <c r="V223" s="1957"/>
      <c r="W223" s="1957"/>
      <c r="X223" s="1957"/>
      <c r="Y223" s="1957"/>
      <c r="Z223" s="1957"/>
      <c r="AA223" s="1957"/>
      <c r="AB223" s="1957"/>
      <c r="AC223" s="1957"/>
      <c r="AD223" s="1957"/>
      <c r="AE223" s="1957"/>
      <c r="AF223" s="1957"/>
      <c r="AG223" s="1957"/>
      <c r="AH223" s="1957"/>
      <c r="AI223" s="195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6">
        <v>38</v>
      </c>
      <c r="P225" s="1696"/>
    </row>
    <row r="226" spans="1:59" ht="12.75" customHeight="1">
      <c r="D226" s="35" t="s">
        <v>618</v>
      </c>
      <c r="E226" s="35"/>
      <c r="F226" s="35"/>
      <c r="G226" s="35"/>
      <c r="H226" s="35"/>
      <c r="I226" s="35"/>
      <c r="J226" s="35"/>
      <c r="K226" s="35"/>
      <c r="L226" s="35"/>
      <c r="M226" s="35"/>
      <c r="N226" s="35"/>
      <c r="O226" s="1696">
        <v>58</v>
      </c>
      <c r="P226" s="169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6">
        <v>32</v>
      </c>
      <c r="P227" s="1696"/>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1309</v>
      </c>
      <c r="U229" s="580" t="s">
        <v>1310</v>
      </c>
      <c r="BB229" s="16" t="s">
        <v>704</v>
      </c>
      <c r="BG229" s="646">
        <f>IF(AND(AND($M$251="for profit",$M$259="nonprofit",$M$267="(select one)")),2,0)</f>
        <v>0</v>
      </c>
    </row>
    <row r="230" spans="1:59" ht="13.2">
      <c r="BB230" s="16" t="s">
        <v>704</v>
      </c>
      <c r="BG230" s="647">
        <f>IF(AND(AND($M$251="nonprofit",$M$259="for profit",$M$267="(select one)")),2,0)</f>
        <v>0</v>
      </c>
    </row>
    <row r="231" spans="1:59" ht="13.2">
      <c r="A231" s="1975" t="s">
        <v>544</v>
      </c>
      <c r="B231" s="1975"/>
      <c r="C231" s="1975"/>
      <c r="D231" s="1975"/>
      <c r="E231" s="1975"/>
      <c r="F231" s="1975"/>
      <c r="G231" s="1975"/>
      <c r="H231" s="1975"/>
      <c r="I231" s="1975"/>
      <c r="J231" s="1975"/>
      <c r="K231" s="1975"/>
      <c r="L231" s="1975"/>
      <c r="M231" s="1975"/>
      <c r="N231" s="1975"/>
      <c r="O231" s="1975"/>
      <c r="P231" s="1975"/>
      <c r="Q231" s="1975"/>
      <c r="R231" s="1975"/>
      <c r="S231" s="1975"/>
      <c r="T231" s="1975"/>
      <c r="U231" s="1975"/>
      <c r="V231" s="1975"/>
      <c r="W231" s="1975"/>
      <c r="X231" s="1975"/>
      <c r="Y231" s="1975"/>
      <c r="Z231" s="1975"/>
      <c r="AA231" s="1975"/>
      <c r="AB231" s="1975"/>
      <c r="AC231" s="1975"/>
      <c r="AD231" s="1975"/>
      <c r="AE231" s="1975"/>
      <c r="AF231" s="1975"/>
      <c r="AG231" s="1975"/>
      <c r="AH231" s="1975"/>
      <c r="AI231" s="1975"/>
      <c r="AJ231" s="1975"/>
      <c r="AK231" s="1975"/>
      <c r="AL231" s="1975"/>
    </row>
    <row r="232" spans="1:59" ht="13.8" thickBot="1">
      <c r="A232" s="1976"/>
      <c r="B232" s="1976"/>
      <c r="C232" s="1976"/>
      <c r="D232" s="1976"/>
      <c r="E232" s="1976"/>
      <c r="F232" s="1976"/>
      <c r="G232" s="1976"/>
      <c r="H232" s="1976"/>
      <c r="I232" s="1976"/>
      <c r="J232" s="1976"/>
      <c r="K232" s="1976"/>
      <c r="L232" s="1976"/>
      <c r="M232" s="1976"/>
      <c r="N232" s="1976"/>
      <c r="O232" s="1976"/>
      <c r="P232" s="1976"/>
      <c r="Q232" s="1976"/>
      <c r="R232" s="1976"/>
      <c r="S232" s="1976"/>
      <c r="T232" s="1976"/>
      <c r="U232" s="1976"/>
      <c r="V232" s="1976"/>
      <c r="W232" s="1976"/>
      <c r="X232" s="1976"/>
      <c r="Y232" s="1976"/>
      <c r="Z232" s="1976"/>
      <c r="AA232" s="1976"/>
      <c r="AB232" s="1976"/>
      <c r="AC232" s="1976"/>
      <c r="AD232" s="1976"/>
      <c r="AE232" s="1976"/>
      <c r="AF232" s="1976"/>
      <c r="AG232" s="1976"/>
      <c r="AH232" s="1976"/>
      <c r="AI232" s="1976"/>
      <c r="AJ232" s="1976"/>
      <c r="AK232" s="1976"/>
      <c r="AL232" s="1976"/>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68" t="str">
        <f>H15</f>
        <v>Vista del Monte Affordable Housing, Inc.</v>
      </c>
      <c r="N235" s="1968"/>
      <c r="O235" s="1968"/>
      <c r="P235" s="1968"/>
      <c r="Q235" s="1968"/>
      <c r="R235" s="1968"/>
      <c r="S235" s="1968"/>
      <c r="T235" s="1968"/>
      <c r="U235" s="1968"/>
      <c r="V235" s="1968"/>
      <c r="W235" s="1968"/>
      <c r="X235" s="1968"/>
      <c r="Y235" s="1968"/>
      <c r="Z235" s="1968"/>
      <c r="AA235" s="1968"/>
      <c r="AB235" s="1968"/>
      <c r="AC235" s="1968"/>
      <c r="AD235" s="1968"/>
      <c r="AE235" s="1968"/>
      <c r="AF235" s="1968"/>
      <c r="AG235" s="1968"/>
      <c r="AH235" s="1968"/>
      <c r="AI235" s="1968"/>
      <c r="AJ235" s="1968"/>
      <c r="AK235" s="1968"/>
      <c r="BB235" s="62"/>
      <c r="BC235" s="35"/>
      <c r="BD235" s="35"/>
      <c r="BE235" s="35"/>
      <c r="BF235" s="35"/>
      <c r="BG235" s="71"/>
    </row>
    <row r="236" spans="1:59" ht="12.75" customHeight="1">
      <c r="D236" s="71" t="s">
        <v>416</v>
      </c>
      <c r="E236" s="71"/>
      <c r="F236" s="71"/>
      <c r="G236" s="71"/>
      <c r="H236" s="71"/>
      <c r="I236" s="71"/>
      <c r="J236" s="71"/>
      <c r="K236" s="8"/>
      <c r="M236" s="1957" t="s">
        <v>2343</v>
      </c>
      <c r="N236" s="1957"/>
      <c r="O236" s="1957"/>
      <c r="P236" s="1957"/>
      <c r="Q236" s="1957"/>
      <c r="R236" s="1957"/>
      <c r="S236" s="1957"/>
      <c r="T236" s="1957"/>
      <c r="U236" s="1957"/>
      <c r="V236" s="1957"/>
      <c r="W236" s="1957"/>
      <c r="X236" s="1957"/>
      <c r="Y236" s="1957"/>
      <c r="Z236" s="1957"/>
      <c r="AA236" s="1957"/>
      <c r="AB236" s="1957"/>
      <c r="AC236" s="1957"/>
      <c r="AD236" s="1957"/>
      <c r="AE236" s="1957"/>
      <c r="AM236" s="72"/>
      <c r="AN236" s="72"/>
      <c r="BB236" s="16" t="s">
        <v>703</v>
      </c>
      <c r="BG236" s="646">
        <f>IF(AND(AND($M$251="nonprofit",$M$259="nonprofit",$M$267="nonprofit")),1,0)</f>
        <v>0</v>
      </c>
    </row>
    <row r="237" spans="1:59" ht="13.2">
      <c r="D237" s="71" t="s">
        <v>479</v>
      </c>
      <c r="E237" s="71"/>
      <c r="M237" s="1957" t="s">
        <v>448</v>
      </c>
      <c r="N237" s="1955"/>
      <c r="O237" s="1955"/>
      <c r="P237" s="1955"/>
      <c r="Q237" s="1955"/>
      <c r="R237" s="1955"/>
      <c r="S237" s="1955"/>
      <c r="T237" s="1955"/>
      <c r="V237" s="73" t="s">
        <v>417</v>
      </c>
      <c r="W237" s="1706" t="s">
        <v>2347</v>
      </c>
      <c r="X237" s="1695"/>
      <c r="Y237" s="71" t="s">
        <v>482</v>
      </c>
      <c r="AC237" s="1955">
        <v>90012</v>
      </c>
      <c r="AD237" s="1955"/>
      <c r="AE237" s="1955"/>
      <c r="AN237" s="72"/>
      <c r="BB237" s="16" t="s">
        <v>703</v>
      </c>
      <c r="BG237" s="646">
        <f>IF(AND(AND($M$251="nonprofit",$M$259="nonprofit",$M$267="(select one)")),1,0)</f>
        <v>0</v>
      </c>
    </row>
    <row r="238" spans="1:59" ht="13.2">
      <c r="D238" s="74" t="s">
        <v>418</v>
      </c>
      <c r="E238" s="8"/>
      <c r="F238" s="8"/>
      <c r="G238" s="8"/>
      <c r="H238" s="8"/>
      <c r="I238" s="8"/>
      <c r="J238" s="8"/>
      <c r="K238" s="39"/>
      <c r="M238" s="1957" t="s">
        <v>2346</v>
      </c>
      <c r="N238" s="1957"/>
      <c r="O238" s="1957"/>
      <c r="P238" s="1957"/>
      <c r="Q238" s="1957"/>
      <c r="R238" s="1957"/>
      <c r="S238" s="1957"/>
      <c r="T238" s="1957"/>
      <c r="U238" s="1957"/>
      <c r="V238" s="1957"/>
      <c r="W238" s="1957"/>
      <c r="X238" s="1957"/>
      <c r="Y238" s="1957"/>
      <c r="Z238" s="1957"/>
      <c r="AA238" s="1957"/>
      <c r="AB238" s="1957"/>
      <c r="AC238" s="1957"/>
      <c r="AD238" s="1957"/>
      <c r="AE238" s="1957"/>
      <c r="AI238" s="8"/>
      <c r="AJ238" s="8"/>
      <c r="AK238" s="8"/>
      <c r="AL238" s="8"/>
      <c r="AN238" s="72"/>
      <c r="BB238" s="16" t="s">
        <v>703</v>
      </c>
      <c r="BG238" s="646">
        <f>IF(AND(AND($M$251="nonprofit",$M$259="(select one)",$M$267="(select one)")),1,0)</f>
        <v>1</v>
      </c>
    </row>
    <row r="239" spans="1:59" ht="13.2">
      <c r="D239" s="74" t="s">
        <v>419</v>
      </c>
      <c r="E239" s="8"/>
      <c r="F239" s="8"/>
      <c r="M239" s="1698" t="s">
        <v>2348</v>
      </c>
      <c r="N239" s="1699"/>
      <c r="O239" s="1699"/>
      <c r="P239" s="1699"/>
      <c r="Q239" s="1699"/>
      <c r="R239" s="1699"/>
      <c r="S239" s="8" t="s">
        <v>900</v>
      </c>
      <c r="T239" s="8"/>
      <c r="U239" s="1695">
        <v>2200</v>
      </c>
      <c r="V239" s="1695"/>
      <c r="W239" s="1695"/>
      <c r="X239" s="8" t="s">
        <v>420</v>
      </c>
      <c r="Z239" s="1699"/>
      <c r="AA239" s="1699"/>
      <c r="AB239" s="1699"/>
      <c r="AC239" s="1699"/>
      <c r="AD239" s="1699"/>
      <c r="AE239" s="1699"/>
      <c r="AM239" s="72"/>
      <c r="AN239" s="72"/>
      <c r="BB239" s="16" t="s">
        <v>1114</v>
      </c>
      <c r="BG239" s="646">
        <f>IF(AND(AND($M$251="for profit",$M$259="for profit",$M$267="for profit")),3,0)</f>
        <v>0</v>
      </c>
    </row>
    <row r="240" spans="1:59" ht="13.2">
      <c r="D240" s="74" t="s">
        <v>421</v>
      </c>
      <c r="E240" s="8"/>
      <c r="F240" s="8"/>
      <c r="M240" s="1954" t="s">
        <v>2345</v>
      </c>
      <c r="N240" s="1954"/>
      <c r="O240" s="1954"/>
      <c r="P240" s="1954"/>
      <c r="Q240" s="1954"/>
      <c r="R240" s="1954"/>
      <c r="S240" s="1954"/>
      <c r="T240" s="1954"/>
      <c r="U240" s="1954"/>
      <c r="V240" s="1954"/>
      <c r="W240" s="1954"/>
      <c r="X240" s="1954"/>
      <c r="Y240" s="1954"/>
      <c r="Z240" s="1954"/>
      <c r="AA240" s="1954"/>
      <c r="AB240" s="1954"/>
      <c r="AC240" s="1954"/>
      <c r="AD240" s="1954"/>
      <c r="AE240" s="1954"/>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705" t="s">
        <v>543</v>
      </c>
      <c r="N241" s="1705"/>
      <c r="O241" s="1705"/>
      <c r="P241" s="1705"/>
      <c r="Q241" s="1705"/>
      <c r="R241" s="1705"/>
      <c r="S241" s="1705"/>
      <c r="T241" s="1705"/>
      <c r="U241" s="8" t="s">
        <v>1267</v>
      </c>
      <c r="AA241" s="1789" t="s">
        <v>2350</v>
      </c>
      <c r="AB241" s="1958"/>
      <c r="AC241" s="1958"/>
      <c r="AD241" s="1958"/>
      <c r="AE241" s="1958"/>
      <c r="AF241" s="1958"/>
      <c r="AG241" s="1958"/>
      <c r="AH241" s="1958"/>
      <c r="AI241" s="1958"/>
      <c r="AJ241" s="1958"/>
      <c r="AK241" s="1958"/>
      <c r="AL241" s="72"/>
      <c r="AM241" s="8"/>
      <c r="AN241" s="72"/>
      <c r="AO241" s="72"/>
      <c r="BB241" s="16" t="s">
        <v>1114</v>
      </c>
      <c r="BC241" s="35"/>
      <c r="BD241" s="35"/>
      <c r="BE241" s="35"/>
      <c r="BF241" s="35"/>
      <c r="BG241" s="647">
        <f>IF(AND(AND($M$251="for profit",$M$259="(select one)",$M$267="(select one)")),3,0)</f>
        <v>0</v>
      </c>
    </row>
    <row r="242" spans="1:67" ht="13.2">
      <c r="D242" s="16" t="s">
        <v>697</v>
      </c>
      <c r="M242" s="1697"/>
      <c r="N242" s="1697"/>
      <c r="O242" s="1697"/>
      <c r="P242" s="1697"/>
      <c r="Q242" s="1697"/>
      <c r="R242" s="1697"/>
      <c r="S242" s="1697"/>
      <c r="T242" s="1697"/>
      <c r="U242" s="1697"/>
      <c r="V242" s="1697"/>
      <c r="W242" s="1697"/>
      <c r="X242" s="1697"/>
      <c r="Y242" s="1697"/>
      <c r="Z242" s="1697"/>
      <c r="AA242" s="1697"/>
      <c r="AB242" s="1697"/>
      <c r="AC242" s="1697"/>
      <c r="AD242" s="1697"/>
      <c r="AE242" s="1697"/>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1644</v>
      </c>
      <c r="D245" s="71" t="s">
        <v>698</v>
      </c>
      <c r="E245" s="71"/>
      <c r="F245" s="71"/>
      <c r="G245" s="71"/>
      <c r="H245" s="71"/>
      <c r="I245" s="71"/>
      <c r="J245" s="71"/>
      <c r="K245" s="71"/>
      <c r="L245" s="8"/>
      <c r="M245" s="1962" t="s">
        <v>2329</v>
      </c>
      <c r="N245" s="1962"/>
      <c r="O245" s="1962"/>
      <c r="P245" s="1962"/>
      <c r="Q245" s="1962"/>
      <c r="R245" s="1962"/>
      <c r="S245" s="1962"/>
      <c r="T245" s="1962"/>
      <c r="U245" s="1962"/>
      <c r="V245" s="1962"/>
      <c r="W245" s="1962"/>
      <c r="X245" s="1962"/>
      <c r="Y245" s="1962"/>
      <c r="Z245" s="1962"/>
      <c r="AA245" s="1962"/>
      <c r="AB245" s="1962"/>
      <c r="AC245" s="1962"/>
      <c r="AD245" s="1962"/>
      <c r="AE245" s="1962"/>
      <c r="AF245" s="1956" t="s">
        <v>2344</v>
      </c>
      <c r="AG245" s="1956"/>
      <c r="AH245" s="1956"/>
      <c r="AI245" s="1956"/>
      <c r="AJ245" s="1956"/>
      <c r="AK245" s="1956"/>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1957" t="s">
        <v>2343</v>
      </c>
      <c r="N246" s="1957"/>
      <c r="O246" s="1957"/>
      <c r="P246" s="1957"/>
      <c r="Q246" s="1957"/>
      <c r="R246" s="1957"/>
      <c r="S246" s="1957"/>
      <c r="T246" s="1957"/>
      <c r="U246" s="1957"/>
      <c r="V246" s="1957"/>
      <c r="W246" s="1957"/>
      <c r="X246" s="1957"/>
      <c r="Y246" s="1957"/>
      <c r="Z246" s="1957"/>
      <c r="AA246" s="1957"/>
      <c r="AB246" s="1957"/>
      <c r="AC246" s="1957"/>
      <c r="AD246" s="1957"/>
      <c r="AE246" s="1957"/>
      <c r="AL246" s="8"/>
      <c r="AN246" s="72"/>
      <c r="BB246" s="8" t="s">
        <v>503</v>
      </c>
      <c r="BH246" s="16">
        <v>3</v>
      </c>
      <c r="BI246" s="16" t="s">
        <v>702</v>
      </c>
    </row>
    <row r="247" spans="1:67" ht="13.2">
      <c r="A247" s="39"/>
      <c r="B247" s="8"/>
      <c r="C247" s="8"/>
      <c r="D247" s="71" t="s">
        <v>479</v>
      </c>
      <c r="E247" s="71"/>
      <c r="M247" s="1957" t="s">
        <v>448</v>
      </c>
      <c r="N247" s="1955"/>
      <c r="O247" s="1955"/>
      <c r="P247" s="1955"/>
      <c r="Q247" s="1955"/>
      <c r="R247" s="1955"/>
      <c r="S247" s="1955"/>
      <c r="T247" s="1955"/>
      <c r="V247" s="73" t="s">
        <v>417</v>
      </c>
      <c r="W247" s="1706" t="s">
        <v>2347</v>
      </c>
      <c r="X247" s="1695"/>
      <c r="Y247" s="71" t="s">
        <v>482</v>
      </c>
      <c r="AC247" s="1955">
        <v>90012</v>
      </c>
      <c r="AD247" s="1955"/>
      <c r="AE247" s="1955"/>
      <c r="AN247" s="72"/>
    </row>
    <row r="248" spans="1:67" ht="13.2">
      <c r="A248" s="39"/>
      <c r="B248" s="8"/>
      <c r="C248" s="8"/>
      <c r="D248" s="74" t="s">
        <v>418</v>
      </c>
      <c r="E248" s="8"/>
      <c r="F248" s="8"/>
      <c r="G248" s="8"/>
      <c r="H248" s="8"/>
      <c r="I248" s="8"/>
      <c r="J248" s="8"/>
      <c r="K248" s="8"/>
      <c r="L248" s="39"/>
      <c r="M248" s="1957" t="s">
        <v>2346</v>
      </c>
      <c r="N248" s="1957"/>
      <c r="O248" s="1957"/>
      <c r="P248" s="1957"/>
      <c r="Q248" s="1957"/>
      <c r="R248" s="1957"/>
      <c r="S248" s="1957"/>
      <c r="T248" s="1957"/>
      <c r="U248" s="1957"/>
      <c r="V248" s="1957"/>
      <c r="W248" s="1957"/>
      <c r="X248" s="1957"/>
      <c r="Y248" s="1957"/>
      <c r="Z248" s="1957"/>
      <c r="AA248" s="1957"/>
      <c r="AB248" s="1957"/>
      <c r="AC248" s="1957"/>
      <c r="AD248" s="1957"/>
      <c r="AE248" s="1957"/>
      <c r="AJ248" s="8"/>
      <c r="AK248" s="8"/>
      <c r="AL248" s="8"/>
      <c r="AN248" s="72"/>
    </row>
    <row r="249" spans="1:67" ht="13.2">
      <c r="A249" s="39"/>
      <c r="B249" s="8"/>
      <c r="C249" s="8"/>
      <c r="D249" s="74" t="s">
        <v>419</v>
      </c>
      <c r="E249" s="8"/>
      <c r="F249" s="8"/>
      <c r="M249" s="1698" t="s">
        <v>2348</v>
      </c>
      <c r="N249" s="1699"/>
      <c r="O249" s="1699"/>
      <c r="P249" s="1699"/>
      <c r="Q249" s="1699"/>
      <c r="R249" s="1699"/>
      <c r="S249" s="8" t="s">
        <v>900</v>
      </c>
      <c r="T249" s="8"/>
      <c r="U249" s="1695">
        <v>2200</v>
      </c>
      <c r="V249" s="1695"/>
      <c r="W249" s="1695"/>
      <c r="X249" s="8" t="s">
        <v>420</v>
      </c>
      <c r="Z249" s="1699"/>
      <c r="AA249" s="1699"/>
      <c r="AB249" s="1699"/>
      <c r="AC249" s="1699"/>
      <c r="AD249" s="1699"/>
      <c r="AE249" s="1699"/>
      <c r="AM249" s="8"/>
      <c r="AN249" s="72"/>
    </row>
    <row r="250" spans="1:67" ht="13.2">
      <c r="A250" s="39"/>
      <c r="B250" s="8"/>
      <c r="C250" s="8"/>
      <c r="D250" s="74" t="s">
        <v>421</v>
      </c>
      <c r="E250" s="8"/>
      <c r="F250" s="8"/>
      <c r="M250" s="1954" t="s">
        <v>2345</v>
      </c>
      <c r="N250" s="1954"/>
      <c r="O250" s="1954"/>
      <c r="P250" s="1954"/>
      <c r="Q250" s="1954"/>
      <c r="R250" s="1954"/>
      <c r="S250" s="1954"/>
      <c r="T250" s="1954"/>
      <c r="U250" s="1954"/>
      <c r="V250" s="1954"/>
      <c r="W250" s="1954"/>
      <c r="X250" s="1954"/>
      <c r="Y250" s="1954"/>
      <c r="Z250" s="1954"/>
      <c r="AA250" s="1954"/>
      <c r="AB250" s="1954"/>
      <c r="AC250" s="1954"/>
      <c r="AD250" s="1954"/>
      <c r="AE250" s="1954"/>
      <c r="AG250" s="8"/>
      <c r="AH250" s="8"/>
      <c r="AI250" s="8"/>
      <c r="AJ250" s="8"/>
      <c r="AK250" s="8"/>
      <c r="AL250" s="8"/>
    </row>
    <row r="251" spans="1:67" ht="13.2">
      <c r="A251" s="33"/>
      <c r="B251" s="8"/>
      <c r="C251" s="147"/>
      <c r="D251" s="74" t="s">
        <v>701</v>
      </c>
      <c r="E251" s="8"/>
      <c r="F251" s="8"/>
      <c r="G251" s="8"/>
      <c r="H251" s="8"/>
      <c r="I251" s="8"/>
      <c r="J251" s="8"/>
      <c r="K251" s="8"/>
      <c r="L251" s="8"/>
      <c r="M251" s="1705" t="s">
        <v>700</v>
      </c>
      <c r="N251" s="1705"/>
      <c r="O251" s="1705"/>
      <c r="P251" s="1705"/>
      <c r="Q251" s="1705"/>
      <c r="R251" s="1705"/>
      <c r="S251" s="1705"/>
      <c r="T251" s="1705"/>
      <c r="U251" s="8" t="s">
        <v>1267</v>
      </c>
      <c r="AA251" s="1789" t="s">
        <v>2350</v>
      </c>
      <c r="AB251" s="1958"/>
      <c r="AC251" s="1958"/>
      <c r="AD251" s="1958"/>
      <c r="AE251" s="1958"/>
      <c r="AF251" s="1958"/>
      <c r="AG251" s="1958"/>
      <c r="AH251" s="1958"/>
      <c r="AI251" s="1958"/>
      <c r="AJ251" s="1958"/>
      <c r="AK251" s="1958"/>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1645</v>
      </c>
      <c r="D253" s="71" t="s">
        <v>1344</v>
      </c>
      <c r="E253" s="71"/>
      <c r="F253" s="71"/>
      <c r="G253" s="71"/>
      <c r="H253" s="71"/>
      <c r="I253" s="71"/>
      <c r="J253" s="71"/>
      <c r="K253" s="71"/>
      <c r="L253" s="8"/>
      <c r="M253" s="1962"/>
      <c r="N253" s="1962"/>
      <c r="O253" s="1962"/>
      <c r="P253" s="1962"/>
      <c r="Q253" s="1962"/>
      <c r="R253" s="1962"/>
      <c r="S253" s="1962"/>
      <c r="T253" s="1962"/>
      <c r="U253" s="1962"/>
      <c r="V253" s="1962"/>
      <c r="W253" s="1962"/>
      <c r="X253" s="1962"/>
      <c r="Y253" s="1962"/>
      <c r="Z253" s="1962"/>
      <c r="AA253" s="1962"/>
      <c r="AB253" s="1962"/>
      <c r="AC253" s="1962"/>
      <c r="AD253" s="1962"/>
      <c r="AE253" s="1962"/>
      <c r="AF253" s="1956" t="s">
        <v>86</v>
      </c>
      <c r="AG253" s="1956"/>
      <c r="AH253" s="1956"/>
      <c r="AI253" s="1956"/>
      <c r="AJ253" s="1956"/>
      <c r="AK253" s="1956"/>
      <c r="AM253" s="8"/>
    </row>
    <row r="254" spans="1:67" ht="13.2">
      <c r="A254" s="39"/>
      <c r="B254" s="8"/>
      <c r="C254" s="8"/>
      <c r="D254" s="71" t="s">
        <v>416</v>
      </c>
      <c r="E254" s="71"/>
      <c r="F254" s="71"/>
      <c r="G254" s="71"/>
      <c r="H254" s="71"/>
      <c r="I254" s="71"/>
      <c r="J254" s="71"/>
      <c r="K254" s="71"/>
      <c r="L254" s="8"/>
      <c r="M254" s="1955"/>
      <c r="N254" s="1955"/>
      <c r="O254" s="1955"/>
      <c r="P254" s="1955"/>
      <c r="Q254" s="1955"/>
      <c r="R254" s="1955"/>
      <c r="S254" s="1955"/>
      <c r="T254" s="1955"/>
      <c r="U254" s="1955"/>
      <c r="V254" s="1955"/>
      <c r="W254" s="1955"/>
      <c r="X254" s="1955"/>
      <c r="Y254" s="1955"/>
      <c r="Z254" s="1955"/>
      <c r="AA254" s="1955"/>
      <c r="AB254" s="1955"/>
      <c r="AC254" s="1955"/>
      <c r="AD254" s="1955"/>
      <c r="AE254" s="1955"/>
      <c r="AL254" s="8"/>
    </row>
    <row r="255" spans="1:67" ht="13.2">
      <c r="A255" s="39"/>
      <c r="B255" s="8"/>
      <c r="C255" s="8"/>
      <c r="D255" s="71" t="s">
        <v>479</v>
      </c>
      <c r="E255" s="71"/>
      <c r="M255" s="1955"/>
      <c r="N255" s="1955"/>
      <c r="O255" s="1955"/>
      <c r="P255" s="1955"/>
      <c r="Q255" s="1955"/>
      <c r="R255" s="1955"/>
      <c r="S255" s="1955"/>
      <c r="T255" s="1955"/>
      <c r="V255" s="73" t="s">
        <v>417</v>
      </c>
      <c r="W255" s="1695"/>
      <c r="X255" s="1695"/>
      <c r="Y255" s="71" t="s">
        <v>482</v>
      </c>
      <c r="AC255" s="1955"/>
      <c r="AD255" s="1955"/>
      <c r="AE255" s="1955"/>
    </row>
    <row r="256" spans="1:67" ht="13.2">
      <c r="A256" s="39"/>
      <c r="B256" s="8"/>
      <c r="C256" s="8"/>
      <c r="D256" s="74" t="s">
        <v>418</v>
      </c>
      <c r="E256" s="8"/>
      <c r="F256" s="8"/>
      <c r="G256" s="8"/>
      <c r="H256" s="8"/>
      <c r="I256" s="8"/>
      <c r="J256" s="8"/>
      <c r="K256" s="8"/>
      <c r="L256" s="39"/>
      <c r="M256" s="1955"/>
      <c r="N256" s="1955"/>
      <c r="O256" s="1955"/>
      <c r="P256" s="1955"/>
      <c r="Q256" s="1955"/>
      <c r="R256" s="1955"/>
      <c r="S256" s="1955"/>
      <c r="T256" s="1955"/>
      <c r="U256" s="1955"/>
      <c r="V256" s="1955"/>
      <c r="W256" s="1955"/>
      <c r="X256" s="1955"/>
      <c r="Y256" s="1955"/>
      <c r="Z256" s="1955"/>
      <c r="AA256" s="1955"/>
      <c r="AB256" s="1955"/>
      <c r="AC256" s="1955"/>
      <c r="AD256" s="1955"/>
      <c r="AE256" s="1955"/>
      <c r="AJ256" s="8"/>
      <c r="AK256" s="8"/>
      <c r="AL256" s="8"/>
    </row>
    <row r="257" spans="1:53" ht="13.2">
      <c r="A257" s="39"/>
      <c r="B257" s="8"/>
      <c r="C257" s="8"/>
      <c r="D257" s="74" t="s">
        <v>419</v>
      </c>
      <c r="E257" s="8"/>
      <c r="F257" s="8"/>
      <c r="M257" s="1699"/>
      <c r="N257" s="1699"/>
      <c r="O257" s="1699"/>
      <c r="P257" s="1699"/>
      <c r="Q257" s="1699"/>
      <c r="R257" s="1699"/>
      <c r="S257" s="8" t="s">
        <v>900</v>
      </c>
      <c r="T257" s="8"/>
      <c r="U257" s="1695"/>
      <c r="V257" s="1695"/>
      <c r="W257" s="1695"/>
      <c r="X257" s="8" t="s">
        <v>420</v>
      </c>
      <c r="Z257" s="1699"/>
      <c r="AA257" s="1699"/>
      <c r="AB257" s="1699"/>
      <c r="AC257" s="1699"/>
      <c r="AD257" s="1699"/>
      <c r="AE257" s="1699"/>
      <c r="BA257" s="75"/>
    </row>
    <row r="258" spans="1:53" ht="13.2">
      <c r="A258" s="39"/>
      <c r="B258" s="8"/>
      <c r="C258" s="8"/>
      <c r="D258" s="74" t="s">
        <v>421</v>
      </c>
      <c r="E258" s="8"/>
      <c r="F258" s="8"/>
      <c r="M258" s="1954"/>
      <c r="N258" s="1954"/>
      <c r="O258" s="1954"/>
      <c r="P258" s="1954"/>
      <c r="Q258" s="1954"/>
      <c r="R258" s="1954"/>
      <c r="S258" s="1954"/>
      <c r="T258" s="1954"/>
      <c r="U258" s="1954"/>
      <c r="V258" s="1954"/>
      <c r="W258" s="1954"/>
      <c r="X258" s="1954"/>
      <c r="Y258" s="1954"/>
      <c r="Z258" s="1954"/>
      <c r="AA258" s="1954"/>
      <c r="AB258" s="1954"/>
      <c r="AC258" s="1954"/>
      <c r="AD258" s="1954"/>
      <c r="AE258" s="1954"/>
      <c r="AG258" s="8"/>
      <c r="AH258" s="8"/>
      <c r="AI258" s="8"/>
      <c r="AJ258" s="8"/>
      <c r="AK258" s="8"/>
      <c r="AL258" s="8"/>
      <c r="BA258" s="35"/>
    </row>
    <row r="259" spans="1:53" ht="13.2">
      <c r="A259" s="33"/>
      <c r="B259" s="8"/>
      <c r="C259" s="147"/>
      <c r="D259" s="74" t="s">
        <v>701</v>
      </c>
      <c r="E259" s="8"/>
      <c r="F259" s="8"/>
      <c r="G259" s="8"/>
      <c r="H259" s="8"/>
      <c r="I259" s="8"/>
      <c r="J259" s="8"/>
      <c r="K259" s="8"/>
      <c r="L259" s="8"/>
      <c r="M259" s="1705" t="s">
        <v>86</v>
      </c>
      <c r="N259" s="1705"/>
      <c r="O259" s="1705"/>
      <c r="P259" s="1705"/>
      <c r="Q259" s="1705"/>
      <c r="R259" s="1705"/>
      <c r="S259" s="1705"/>
      <c r="T259" s="1705"/>
      <c r="U259" s="8" t="s">
        <v>1267</v>
      </c>
      <c r="AA259" s="1958"/>
      <c r="AB259" s="1958"/>
      <c r="AC259" s="1958"/>
      <c r="AD259" s="1958"/>
      <c r="AE259" s="1958"/>
      <c r="AF259" s="1958"/>
      <c r="AG259" s="1958"/>
      <c r="AH259" s="1958"/>
      <c r="AI259" s="1958"/>
      <c r="AJ259" s="1958"/>
      <c r="AK259" s="1958"/>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2158</v>
      </c>
      <c r="D261" s="71" t="s">
        <v>698</v>
      </c>
      <c r="E261" s="71"/>
      <c r="F261" s="71"/>
      <c r="G261" s="71"/>
      <c r="H261" s="71"/>
      <c r="I261" s="71"/>
      <c r="J261" s="71"/>
      <c r="K261" s="71"/>
      <c r="L261" s="8"/>
      <c r="M261" s="1956"/>
      <c r="N261" s="1956"/>
      <c r="O261" s="1956"/>
      <c r="P261" s="1956"/>
      <c r="Q261" s="1956"/>
      <c r="R261" s="1956"/>
      <c r="S261" s="1956"/>
      <c r="T261" s="1956"/>
      <c r="U261" s="1956"/>
      <c r="V261" s="1956"/>
      <c r="W261" s="1956"/>
      <c r="X261" s="1956"/>
      <c r="Y261" s="1956"/>
      <c r="Z261" s="1956"/>
      <c r="AA261" s="1956"/>
      <c r="AB261" s="1956"/>
      <c r="AC261" s="1956"/>
      <c r="AD261" s="1956"/>
      <c r="AE261" s="1956"/>
      <c r="AF261" s="1956" t="s">
        <v>86</v>
      </c>
      <c r="AG261" s="1956"/>
      <c r="AH261" s="1956"/>
      <c r="AI261" s="1956"/>
      <c r="AJ261" s="1956"/>
      <c r="AK261" s="1956"/>
      <c r="AL261" s="72"/>
      <c r="BA261" s="3"/>
    </row>
    <row r="262" spans="1:53" ht="13.2">
      <c r="A262" s="33"/>
      <c r="B262" s="8"/>
      <c r="C262" s="8"/>
      <c r="D262" s="71" t="s">
        <v>416</v>
      </c>
      <c r="E262" s="71"/>
      <c r="F262" s="71"/>
      <c r="G262" s="71"/>
      <c r="H262" s="71"/>
      <c r="I262" s="71"/>
      <c r="J262" s="71"/>
      <c r="K262" s="71"/>
      <c r="L262" s="8"/>
      <c r="M262" s="1955"/>
      <c r="N262" s="1955"/>
      <c r="O262" s="1955"/>
      <c r="P262" s="1955"/>
      <c r="Q262" s="1955"/>
      <c r="R262" s="1955"/>
      <c r="S262" s="1955"/>
      <c r="T262" s="1955"/>
      <c r="U262" s="1955"/>
      <c r="V262" s="1955"/>
      <c r="W262" s="1955"/>
      <c r="X262" s="1955"/>
      <c r="Y262" s="1955"/>
      <c r="Z262" s="1955"/>
      <c r="AA262" s="1955"/>
      <c r="AB262" s="1955"/>
      <c r="AC262" s="1955"/>
      <c r="AD262" s="1955"/>
      <c r="AE262" s="1955"/>
      <c r="AL262" s="72"/>
      <c r="BA262" s="651"/>
    </row>
    <row r="263" spans="1:53" ht="13.2">
      <c r="A263" s="33"/>
      <c r="B263" s="8"/>
      <c r="C263" s="8"/>
      <c r="D263" s="71" t="s">
        <v>479</v>
      </c>
      <c r="E263" s="71"/>
      <c r="M263" s="1955"/>
      <c r="N263" s="1955"/>
      <c r="O263" s="1955"/>
      <c r="P263" s="1955"/>
      <c r="Q263" s="1955"/>
      <c r="R263" s="1955"/>
      <c r="S263" s="1955"/>
      <c r="T263" s="1955"/>
      <c r="V263" s="73" t="s">
        <v>417</v>
      </c>
      <c r="W263" s="1695"/>
      <c r="X263" s="1695"/>
      <c r="Y263" s="71" t="s">
        <v>482</v>
      </c>
      <c r="AC263" s="1955"/>
      <c r="AD263" s="1955"/>
      <c r="AE263" s="1955"/>
      <c r="AL263" s="72"/>
      <c r="BA263" s="75"/>
    </row>
    <row r="264" spans="1:53" ht="13.2">
      <c r="A264" s="33"/>
      <c r="B264" s="8"/>
      <c r="C264" s="8"/>
      <c r="D264" s="74" t="s">
        <v>418</v>
      </c>
      <c r="E264" s="8"/>
      <c r="F264" s="8"/>
      <c r="G264" s="8"/>
      <c r="H264" s="8"/>
      <c r="I264" s="8"/>
      <c r="J264" s="8"/>
      <c r="K264" s="8"/>
      <c r="L264" s="39"/>
      <c r="M264" s="1955"/>
      <c r="N264" s="1955"/>
      <c r="O264" s="1955"/>
      <c r="P264" s="1955"/>
      <c r="Q264" s="1955"/>
      <c r="R264" s="1955"/>
      <c r="S264" s="1955"/>
      <c r="T264" s="1955"/>
      <c r="U264" s="1955"/>
      <c r="V264" s="1955"/>
      <c r="W264" s="1955"/>
      <c r="X264" s="1955"/>
      <c r="Y264" s="1955"/>
      <c r="Z264" s="1955"/>
      <c r="AA264" s="1955"/>
      <c r="AB264" s="1955"/>
      <c r="AC264" s="1955"/>
      <c r="AD264" s="1955"/>
      <c r="AE264" s="1955"/>
      <c r="AJ264" s="8"/>
      <c r="AK264" s="8"/>
      <c r="AL264" s="72"/>
      <c r="BA264" s="75"/>
    </row>
    <row r="265" spans="1:53" ht="13.2">
      <c r="A265" s="33"/>
      <c r="B265" s="8"/>
      <c r="C265" s="8"/>
      <c r="D265" s="74" t="s">
        <v>419</v>
      </c>
      <c r="E265" s="8"/>
      <c r="F265" s="8"/>
      <c r="M265" s="1699"/>
      <c r="N265" s="1699"/>
      <c r="O265" s="1699"/>
      <c r="P265" s="1699"/>
      <c r="Q265" s="1699"/>
      <c r="R265" s="1699"/>
      <c r="S265" s="8" t="s">
        <v>900</v>
      </c>
      <c r="T265" s="8"/>
      <c r="U265" s="1695"/>
      <c r="V265" s="1695"/>
      <c r="W265" s="1695"/>
      <c r="X265" s="8" t="s">
        <v>420</v>
      </c>
      <c r="Z265" s="1699"/>
      <c r="AA265" s="1699"/>
      <c r="AB265" s="1699"/>
      <c r="AC265" s="1699"/>
      <c r="AD265" s="1699"/>
      <c r="AE265" s="1699"/>
      <c r="AL265" s="72"/>
      <c r="BA265" s="75"/>
    </row>
    <row r="266" spans="1:53" ht="13.2">
      <c r="A266" s="33"/>
      <c r="B266" s="8"/>
      <c r="C266" s="8"/>
      <c r="D266" s="74" t="s">
        <v>421</v>
      </c>
      <c r="E266" s="8"/>
      <c r="F266" s="8"/>
      <c r="M266" s="1954"/>
      <c r="N266" s="1954"/>
      <c r="O266" s="1954"/>
      <c r="P266" s="1954"/>
      <c r="Q266" s="1954"/>
      <c r="R266" s="1954"/>
      <c r="S266" s="1954"/>
      <c r="T266" s="1954"/>
      <c r="U266" s="1954"/>
      <c r="V266" s="1954"/>
      <c r="W266" s="1954"/>
      <c r="X266" s="1954"/>
      <c r="Y266" s="1954"/>
      <c r="Z266" s="1954"/>
      <c r="AA266" s="1954"/>
      <c r="AB266" s="1954"/>
      <c r="AC266" s="1954"/>
      <c r="AD266" s="1954"/>
      <c r="AE266" s="1954"/>
      <c r="AG266" s="8"/>
      <c r="AH266" s="8"/>
      <c r="AI266" s="8"/>
      <c r="AJ266" s="8"/>
      <c r="AK266" s="8"/>
      <c r="AL266" s="72"/>
      <c r="BA266" s="75"/>
    </row>
    <row r="267" spans="1:53" ht="13.2">
      <c r="A267" s="33"/>
      <c r="B267" s="8"/>
      <c r="C267" s="147"/>
      <c r="D267" s="74" t="s">
        <v>701</v>
      </c>
      <c r="E267" s="8"/>
      <c r="F267" s="8"/>
      <c r="G267" s="8"/>
      <c r="H267" s="8"/>
      <c r="I267" s="8"/>
      <c r="J267" s="8"/>
      <c r="K267" s="8"/>
      <c r="L267" s="8"/>
      <c r="M267" s="1705" t="s">
        <v>86</v>
      </c>
      <c r="N267" s="1705"/>
      <c r="O267" s="1705"/>
      <c r="P267" s="1705"/>
      <c r="Q267" s="1705"/>
      <c r="R267" s="1705"/>
      <c r="S267" s="1705"/>
      <c r="T267" s="1705"/>
      <c r="U267" s="8" t="s">
        <v>1267</v>
      </c>
      <c r="AA267" s="1958"/>
      <c r="AB267" s="1958"/>
      <c r="AC267" s="1958"/>
      <c r="AD267" s="1958"/>
      <c r="AE267" s="1958"/>
      <c r="AF267" s="1958"/>
      <c r="AG267" s="1958"/>
      <c r="AH267" s="1958"/>
      <c r="AI267" s="1958"/>
      <c r="AJ267" s="1958"/>
      <c r="AK267" s="1958"/>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054" t="str">
        <f>BO245</f>
        <v>Nonprofit</v>
      </c>
      <c r="U269" s="2054"/>
      <c r="V269" s="2054"/>
      <c r="W269" s="2054"/>
      <c r="X269" s="2054"/>
      <c r="Z269" s="757" t="s">
        <v>1345</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3.2">
      <c r="A272" s="71"/>
      <c r="B272" s="77">
        <v>0</v>
      </c>
      <c r="D272" s="1955" t="s">
        <v>503</v>
      </c>
      <c r="E272" s="1955"/>
      <c r="F272" s="1955"/>
      <c r="G272" s="1955"/>
      <c r="H272" s="1955"/>
      <c r="J272" s="16" t="s">
        <v>993</v>
      </c>
      <c r="X272" s="2085">
        <v>44363</v>
      </c>
      <c r="Y272" s="2085"/>
      <c r="Z272" s="2085"/>
      <c r="AA272" s="2085"/>
      <c r="AB272" s="2085"/>
      <c r="AC272" s="2085"/>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962" t="s">
        <v>2495</v>
      </c>
      <c r="M276" s="1962"/>
      <c r="N276" s="1962"/>
      <c r="O276" s="1962"/>
      <c r="P276" s="1962"/>
      <c r="Q276" s="1962"/>
      <c r="R276" s="1962"/>
      <c r="S276" s="1962"/>
      <c r="T276" s="1962"/>
      <c r="U276" s="1962"/>
      <c r="V276" s="1962"/>
      <c r="W276" s="1962"/>
      <c r="X276" s="1962"/>
      <c r="Y276" s="1962"/>
      <c r="Z276" s="1962"/>
      <c r="AA276" s="1962"/>
      <c r="AB276" s="1962"/>
      <c r="AC276" s="1962"/>
      <c r="AD276" s="1962"/>
      <c r="AE276" s="1962"/>
      <c r="AF276" s="1962"/>
      <c r="AG276" s="1962"/>
      <c r="AH276" s="1962"/>
      <c r="AI276" s="1962"/>
      <c r="AJ276" s="1962"/>
      <c r="AK276" s="72"/>
      <c r="AL276" s="72"/>
      <c r="BA276" s="75"/>
    </row>
    <row r="277" spans="1:53" ht="12.75" customHeight="1">
      <c r="D277" s="71" t="s">
        <v>416</v>
      </c>
      <c r="E277" s="71"/>
      <c r="F277" s="71"/>
      <c r="G277" s="71"/>
      <c r="H277" s="71"/>
      <c r="I277" s="71"/>
      <c r="J277" s="71"/>
      <c r="K277" s="8"/>
      <c r="L277" s="1957" t="s">
        <v>2498</v>
      </c>
      <c r="M277" s="1957"/>
      <c r="N277" s="1957"/>
      <c r="O277" s="1957"/>
      <c r="P277" s="1957"/>
      <c r="Q277" s="1957"/>
      <c r="R277" s="1957"/>
      <c r="S277" s="1957"/>
      <c r="T277" s="1957"/>
      <c r="U277" s="1957"/>
      <c r="V277" s="1957"/>
      <c r="W277" s="1957"/>
      <c r="X277" s="1957"/>
      <c r="Y277" s="1957"/>
      <c r="Z277" s="1957"/>
      <c r="AA277" s="1957"/>
      <c r="AB277" s="1957"/>
      <c r="AC277" s="1957"/>
      <c r="AD277" s="1957"/>
      <c r="AK277" s="72"/>
      <c r="AL277" s="72"/>
      <c r="BA277" s="75"/>
    </row>
    <row r="278" spans="1:53" ht="13.2">
      <c r="D278" s="71" t="s">
        <v>479</v>
      </c>
      <c r="E278" s="71"/>
      <c r="L278" s="1957" t="s">
        <v>120</v>
      </c>
      <c r="M278" s="1955"/>
      <c r="N278" s="1955"/>
      <c r="O278" s="1955"/>
      <c r="P278" s="1955"/>
      <c r="Q278" s="1955"/>
      <c r="R278" s="1955"/>
      <c r="S278" s="1955"/>
      <c r="U278" s="73" t="s">
        <v>417</v>
      </c>
      <c r="V278" s="1706" t="s">
        <v>2347</v>
      </c>
      <c r="W278" s="1695"/>
      <c r="X278" s="71" t="s">
        <v>482</v>
      </c>
      <c r="AB278" s="1955">
        <v>92507</v>
      </c>
      <c r="AC278" s="1955"/>
      <c r="AD278" s="1955"/>
      <c r="AK278" s="72"/>
      <c r="AL278" s="72"/>
      <c r="BA278" s="75"/>
    </row>
    <row r="279" spans="1:53" ht="13.2">
      <c r="D279" s="74" t="s">
        <v>418</v>
      </c>
      <c r="E279" s="8"/>
      <c r="F279" s="8"/>
      <c r="G279" s="8"/>
      <c r="H279" s="8"/>
      <c r="I279" s="8"/>
      <c r="J279" s="8"/>
      <c r="K279" s="39"/>
      <c r="L279" s="1957" t="s">
        <v>2497</v>
      </c>
      <c r="M279" s="1957"/>
      <c r="N279" s="1957"/>
      <c r="O279" s="1957"/>
      <c r="P279" s="1957"/>
      <c r="Q279" s="1957"/>
      <c r="R279" s="1957"/>
      <c r="S279" s="1957"/>
      <c r="T279" s="1957"/>
      <c r="U279" s="1957"/>
      <c r="V279" s="1957"/>
      <c r="W279" s="1957"/>
      <c r="X279" s="1957"/>
      <c r="Y279" s="1957"/>
      <c r="Z279" s="1957"/>
      <c r="AA279" s="1957"/>
      <c r="AB279" s="1957"/>
      <c r="AC279" s="1957"/>
      <c r="AD279" s="1957"/>
      <c r="AI279" s="8"/>
      <c r="AJ279" s="8"/>
      <c r="AK279" s="72"/>
      <c r="AL279" s="72"/>
      <c r="BA279" s="75"/>
    </row>
    <row r="280" spans="1:53" ht="13.2">
      <c r="D280" s="74" t="s">
        <v>419</v>
      </c>
      <c r="E280" s="8"/>
      <c r="F280" s="8"/>
      <c r="L280" s="1698" t="s">
        <v>2385</v>
      </c>
      <c r="M280" s="1699"/>
      <c r="N280" s="1699"/>
      <c r="O280" s="1699"/>
      <c r="P280" s="1699"/>
      <c r="Q280" s="1699"/>
      <c r="R280" s="8" t="s">
        <v>900</v>
      </c>
      <c r="S280" s="8"/>
      <c r="T280" s="1695"/>
      <c r="U280" s="1695"/>
      <c r="V280" s="1695"/>
      <c r="W280" s="8" t="s">
        <v>420</v>
      </c>
      <c r="Y280" s="1699"/>
      <c r="Z280" s="1699"/>
      <c r="AA280" s="1699"/>
      <c r="AB280" s="1699"/>
      <c r="AC280" s="1699"/>
      <c r="AD280" s="1699"/>
      <c r="BA280" s="75"/>
    </row>
    <row r="281" spans="1:53" ht="13.2">
      <c r="D281" s="74" t="s">
        <v>421</v>
      </c>
      <c r="E281" s="8"/>
      <c r="F281" s="8"/>
      <c r="L281" s="1954" t="s">
        <v>2383</v>
      </c>
      <c r="M281" s="1954"/>
      <c r="N281" s="1954"/>
      <c r="O281" s="1954"/>
      <c r="P281" s="1954"/>
      <c r="Q281" s="1954"/>
      <c r="R281" s="1954"/>
      <c r="S281" s="1954"/>
      <c r="T281" s="1954"/>
      <c r="U281" s="1954"/>
      <c r="V281" s="1954"/>
      <c r="W281" s="1954"/>
      <c r="X281" s="1954"/>
      <c r="Y281" s="1954"/>
      <c r="Z281" s="1954"/>
      <c r="AA281" s="1954"/>
      <c r="AB281" s="1954"/>
      <c r="AC281" s="1954"/>
      <c r="AD281" s="1954"/>
      <c r="AF281" s="8"/>
      <c r="AG281" s="8"/>
      <c r="AH281" s="8"/>
      <c r="AI281" s="8"/>
      <c r="AJ281" s="8"/>
      <c r="BA281" s="75"/>
    </row>
    <row r="282" spans="1:53" ht="13.2">
      <c r="D282" s="72" t="s">
        <v>203</v>
      </c>
      <c r="E282" s="72"/>
      <c r="F282" s="72"/>
      <c r="G282" s="72"/>
      <c r="H282" s="72"/>
      <c r="I282" s="72"/>
      <c r="L282" s="1706" t="s">
        <v>2496</v>
      </c>
      <c r="M282" s="1706"/>
      <c r="N282" s="1706"/>
      <c r="O282" s="1706"/>
      <c r="P282" s="1706"/>
      <c r="Q282" s="1706"/>
      <c r="R282" s="1706"/>
      <c r="S282" s="1706"/>
      <c r="T282" s="1706"/>
      <c r="U282" s="1706"/>
      <c r="V282" s="1706"/>
      <c r="W282" s="1706"/>
      <c r="X282" s="1706"/>
      <c r="Y282" s="1706"/>
      <c r="Z282" s="1706"/>
      <c r="AA282" s="1706"/>
      <c r="AB282" s="1706"/>
      <c r="AC282" s="1706"/>
      <c r="AD282" s="1706"/>
      <c r="AK282" s="72"/>
      <c r="AL282" s="72"/>
      <c r="BA282" s="75"/>
    </row>
    <row r="283" spans="1:53" ht="13.2">
      <c r="L283" s="46" t="s">
        <v>204</v>
      </c>
      <c r="BA283" s="75"/>
    </row>
    <row r="284" spans="1:53" ht="13.2">
      <c r="A284" s="1975" t="s">
        <v>545</v>
      </c>
      <c r="B284" s="1975"/>
      <c r="C284" s="1975"/>
      <c r="D284" s="1975"/>
      <c r="E284" s="1975"/>
      <c r="F284" s="1975"/>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5"/>
      <c r="AE284" s="1975"/>
      <c r="AF284" s="1975"/>
      <c r="AG284" s="1975"/>
      <c r="AH284" s="1975"/>
      <c r="AI284" s="1975"/>
      <c r="AJ284" s="1975"/>
      <c r="AK284" s="1975"/>
      <c r="AL284" s="1975"/>
      <c r="BA284" s="75"/>
    </row>
    <row r="285" spans="1:53" ht="13.8" thickBot="1">
      <c r="A285" s="1976"/>
      <c r="B285" s="1976"/>
      <c r="C285" s="1976"/>
      <c r="D285" s="1976"/>
      <c r="E285" s="1976"/>
      <c r="F285" s="1976"/>
      <c r="G285" s="1976"/>
      <c r="H285" s="1976"/>
      <c r="I285" s="1976"/>
      <c r="J285" s="1976"/>
      <c r="K285" s="1976"/>
      <c r="L285" s="1976"/>
      <c r="M285" s="1976"/>
      <c r="N285" s="1976"/>
      <c r="O285" s="1976"/>
      <c r="P285" s="1976"/>
      <c r="Q285" s="1976"/>
      <c r="R285" s="1976"/>
      <c r="S285" s="1976"/>
      <c r="T285" s="1976"/>
      <c r="U285" s="1976"/>
      <c r="V285" s="1976"/>
      <c r="W285" s="1976"/>
      <c r="X285" s="1976"/>
      <c r="Y285" s="1976"/>
      <c r="Z285" s="1976"/>
      <c r="AA285" s="1976"/>
      <c r="AB285" s="1976"/>
      <c r="AC285" s="1976"/>
      <c r="AD285" s="1976"/>
      <c r="AE285" s="1976"/>
      <c r="AF285" s="1976"/>
      <c r="AG285" s="1976"/>
      <c r="AH285" s="1976"/>
      <c r="AI285" s="1976"/>
      <c r="AJ285" s="1976"/>
      <c r="AK285" s="1976"/>
      <c r="AL285" s="197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7" t="s">
        <v>2350</v>
      </c>
      <c r="I289" s="1697"/>
      <c r="J289" s="1697"/>
      <c r="K289" s="1697"/>
      <c r="L289" s="1697"/>
      <c r="M289" s="1697"/>
      <c r="N289" s="1697"/>
      <c r="O289" s="1697"/>
      <c r="P289" s="1697"/>
      <c r="Q289" s="1697"/>
      <c r="R289" s="1697"/>
      <c r="T289" s="72" t="s">
        <v>813</v>
      </c>
      <c r="V289" s="72"/>
      <c r="W289" s="72"/>
      <c r="X289" s="72"/>
      <c r="Y289" s="72"/>
      <c r="AA289" s="1697" t="s">
        <v>2354</v>
      </c>
      <c r="AB289" s="1697"/>
      <c r="AC289" s="1697"/>
      <c r="AD289" s="1697"/>
      <c r="AE289" s="1697"/>
      <c r="AF289" s="1697"/>
      <c r="AG289" s="1697"/>
      <c r="AH289" s="1697"/>
      <c r="AI289" s="1697"/>
      <c r="AJ289" s="1697"/>
      <c r="AK289" s="1697"/>
      <c r="BA289" s="75"/>
    </row>
    <row r="290" spans="2:53" ht="13.2">
      <c r="B290" s="72" t="s">
        <v>765</v>
      </c>
      <c r="C290" s="72"/>
      <c r="D290" s="72"/>
      <c r="E290" s="72"/>
      <c r="F290" s="72"/>
      <c r="H290" s="1705" t="s">
        <v>2351</v>
      </c>
      <c r="I290" s="1705"/>
      <c r="J290" s="1705"/>
      <c r="K290" s="1705"/>
      <c r="L290" s="1705"/>
      <c r="M290" s="1705"/>
      <c r="N290" s="1705"/>
      <c r="O290" s="1705"/>
      <c r="P290" s="1705"/>
      <c r="Q290" s="1705"/>
      <c r="R290" s="1705"/>
      <c r="T290" s="72" t="s">
        <v>765</v>
      </c>
      <c r="V290" s="72"/>
      <c r="W290" s="72"/>
      <c r="X290" s="72"/>
      <c r="Y290" s="72"/>
      <c r="AA290" s="1705" t="s">
        <v>2355</v>
      </c>
      <c r="AB290" s="1705"/>
      <c r="AC290" s="1705"/>
      <c r="AD290" s="1705"/>
      <c r="AE290" s="1705"/>
      <c r="AF290" s="1705"/>
      <c r="AG290" s="1705"/>
      <c r="AH290" s="1705"/>
      <c r="AI290" s="1705"/>
      <c r="AJ290" s="1705"/>
      <c r="AK290" s="1705"/>
      <c r="BA290" s="75"/>
    </row>
    <row r="291" spans="2:53" ht="13.2">
      <c r="B291" s="72" t="s">
        <v>767</v>
      </c>
      <c r="C291" s="72"/>
      <c r="D291" s="72"/>
      <c r="E291" s="72"/>
      <c r="F291" s="72"/>
      <c r="H291" s="1705" t="s">
        <v>2352</v>
      </c>
      <c r="I291" s="1705"/>
      <c r="J291" s="1705"/>
      <c r="K291" s="1705"/>
      <c r="L291" s="1705"/>
      <c r="M291" s="1705"/>
      <c r="N291" s="1705"/>
      <c r="O291" s="1705"/>
      <c r="P291" s="1705"/>
      <c r="Q291" s="1705"/>
      <c r="R291" s="1705"/>
      <c r="T291" s="72" t="s">
        <v>766</v>
      </c>
      <c r="V291" s="72"/>
      <c r="W291" s="72"/>
      <c r="X291" s="72"/>
      <c r="Y291" s="72"/>
      <c r="AA291" s="1705" t="s">
        <v>2356</v>
      </c>
      <c r="AB291" s="1705"/>
      <c r="AC291" s="1705"/>
      <c r="AD291" s="1705"/>
      <c r="AE291" s="1705"/>
      <c r="AF291" s="1705"/>
      <c r="AG291" s="1705"/>
      <c r="AH291" s="1705"/>
      <c r="AI291" s="1705"/>
      <c r="AJ291" s="1705"/>
      <c r="AK291" s="1705"/>
      <c r="BA291" s="75"/>
    </row>
    <row r="292" spans="2:53" ht="13.2">
      <c r="B292" s="72" t="s">
        <v>418</v>
      </c>
      <c r="C292" s="72"/>
      <c r="D292" s="72"/>
      <c r="E292" s="72"/>
      <c r="F292" s="72"/>
      <c r="H292" s="1705" t="s">
        <v>2353</v>
      </c>
      <c r="I292" s="1705"/>
      <c r="J292" s="1705"/>
      <c r="K292" s="1705"/>
      <c r="L292" s="1705"/>
      <c r="M292" s="1705"/>
      <c r="N292" s="1705"/>
      <c r="O292" s="1705"/>
      <c r="P292" s="1705"/>
      <c r="Q292" s="1705"/>
      <c r="R292" s="1705"/>
      <c r="T292" s="72" t="s">
        <v>418</v>
      </c>
      <c r="V292" s="72"/>
      <c r="W292" s="72"/>
      <c r="X292" s="72"/>
      <c r="Y292" s="72"/>
      <c r="AA292" s="1705" t="s">
        <v>2357</v>
      </c>
      <c r="AB292" s="1705"/>
      <c r="AC292" s="1705"/>
      <c r="AD292" s="1705"/>
      <c r="AE292" s="1705"/>
      <c r="AF292" s="1705"/>
      <c r="AG292" s="1705"/>
      <c r="AH292" s="1705"/>
      <c r="AI292" s="1705"/>
      <c r="AJ292" s="1705"/>
      <c r="AK292" s="1705"/>
      <c r="BA292" s="75"/>
    </row>
    <row r="293" spans="2:53" ht="12.75" customHeight="1">
      <c r="B293" s="72" t="s">
        <v>419</v>
      </c>
      <c r="C293" s="72"/>
      <c r="D293" s="72"/>
      <c r="E293" s="72"/>
      <c r="F293" s="72"/>
      <c r="G293" s="72"/>
      <c r="H293" s="1789" t="s">
        <v>2348</v>
      </c>
      <c r="I293" s="1958"/>
      <c r="J293" s="1958"/>
      <c r="K293" s="1958"/>
      <c r="L293" s="1958"/>
      <c r="M293" s="1958"/>
      <c r="N293" s="8" t="s">
        <v>900</v>
      </c>
      <c r="O293" s="8"/>
      <c r="P293" s="1955">
        <v>2200</v>
      </c>
      <c r="Q293" s="1955"/>
      <c r="R293" s="1955"/>
      <c r="S293" s="72"/>
      <c r="T293" s="72" t="s">
        <v>419</v>
      </c>
      <c r="V293" s="72"/>
      <c r="W293" s="72"/>
      <c r="X293" s="72"/>
      <c r="Y293" s="72"/>
      <c r="AA293" s="1789" t="s">
        <v>2368</v>
      </c>
      <c r="AB293" s="1958"/>
      <c r="AC293" s="1958"/>
      <c r="AD293" s="1958"/>
      <c r="AE293" s="1958"/>
      <c r="AF293" s="1958"/>
      <c r="AG293" s="8" t="s">
        <v>900</v>
      </c>
      <c r="AH293" s="8"/>
      <c r="AI293" s="1955"/>
      <c r="AJ293" s="1955"/>
      <c r="AK293" s="1955"/>
      <c r="BA293" s="75"/>
    </row>
    <row r="294" spans="2:53" ht="13.2">
      <c r="B294" s="72" t="s">
        <v>420</v>
      </c>
      <c r="C294" s="72"/>
      <c r="D294" s="72"/>
      <c r="E294" s="72"/>
      <c r="F294" s="72"/>
      <c r="G294" s="72"/>
      <c r="H294" s="1699"/>
      <c r="I294" s="1699"/>
      <c r="J294" s="1699"/>
      <c r="K294" s="1699"/>
      <c r="L294" s="1699"/>
      <c r="M294" s="1699"/>
      <c r="N294" s="74"/>
      <c r="O294" s="74"/>
      <c r="P294" s="76"/>
      <c r="Q294" s="76"/>
      <c r="R294" s="76"/>
      <c r="S294" s="72"/>
      <c r="T294" s="72" t="s">
        <v>420</v>
      </c>
      <c r="V294" s="72"/>
      <c r="W294" s="72"/>
      <c r="X294" s="72"/>
      <c r="Y294" s="72"/>
      <c r="AA294" s="1699"/>
      <c r="AB294" s="1699"/>
      <c r="AC294" s="1699"/>
      <c r="AD294" s="1699"/>
      <c r="AE294" s="1699"/>
      <c r="AF294" s="1699"/>
      <c r="AG294" s="74"/>
      <c r="AH294" s="74"/>
      <c r="AI294" s="76"/>
      <c r="AJ294" s="76"/>
      <c r="AK294" s="76"/>
      <c r="BA294" s="75"/>
    </row>
    <row r="295" spans="2:53" ht="13.2">
      <c r="B295" s="72" t="s">
        <v>768</v>
      </c>
      <c r="C295" s="72"/>
      <c r="D295" s="72"/>
      <c r="E295" s="72"/>
      <c r="F295" s="72"/>
      <c r="G295" s="72"/>
      <c r="H295" s="1705" t="s">
        <v>2345</v>
      </c>
      <c r="I295" s="1705"/>
      <c r="J295" s="1705"/>
      <c r="K295" s="1705"/>
      <c r="L295" s="1705"/>
      <c r="M295" s="1705"/>
      <c r="N295" s="1697"/>
      <c r="O295" s="1697"/>
      <c r="P295" s="1697"/>
      <c r="Q295" s="1697"/>
      <c r="R295" s="1697"/>
      <c r="S295" s="72"/>
      <c r="T295" s="72" t="s">
        <v>768</v>
      </c>
      <c r="V295" s="72"/>
      <c r="W295" s="72"/>
      <c r="X295" s="72"/>
      <c r="Y295" s="72"/>
      <c r="AA295" s="1705" t="s">
        <v>2358</v>
      </c>
      <c r="AB295" s="1705"/>
      <c r="AC295" s="1705"/>
      <c r="AD295" s="1705"/>
      <c r="AE295" s="1705"/>
      <c r="AF295" s="1705"/>
      <c r="AG295" s="1697"/>
      <c r="AH295" s="1697"/>
      <c r="AI295" s="1697"/>
      <c r="AJ295" s="1697"/>
      <c r="AK295" s="169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97" t="s">
        <v>2359</v>
      </c>
      <c r="I297" s="1697"/>
      <c r="J297" s="1697"/>
      <c r="K297" s="1697"/>
      <c r="L297" s="1697"/>
      <c r="M297" s="1697"/>
      <c r="N297" s="1697"/>
      <c r="O297" s="1697"/>
      <c r="P297" s="1697"/>
      <c r="Q297" s="1697"/>
      <c r="R297" s="1697"/>
      <c r="T297" s="72" t="s">
        <v>40</v>
      </c>
      <c r="V297" s="72"/>
      <c r="W297" s="72"/>
      <c r="X297" s="72"/>
      <c r="Y297" s="72"/>
      <c r="AA297" s="1697" t="s">
        <v>2363</v>
      </c>
      <c r="AB297" s="1697"/>
      <c r="AC297" s="1697"/>
      <c r="AD297" s="1697"/>
      <c r="AE297" s="1697"/>
      <c r="AF297" s="1697"/>
      <c r="AG297" s="1697"/>
      <c r="AH297" s="1697"/>
      <c r="AI297" s="1697"/>
      <c r="AJ297" s="1697"/>
      <c r="AK297" s="1697"/>
      <c r="BA297" s="75"/>
    </row>
    <row r="298" spans="2:53" ht="13.2">
      <c r="B298" s="72" t="s">
        <v>765</v>
      </c>
      <c r="C298" s="72"/>
      <c r="D298" s="72"/>
      <c r="E298" s="72"/>
      <c r="F298" s="72"/>
      <c r="H298" s="1705" t="s">
        <v>2360</v>
      </c>
      <c r="I298" s="1705"/>
      <c r="J298" s="1705"/>
      <c r="K298" s="1705"/>
      <c r="L298" s="1705"/>
      <c r="M298" s="1705"/>
      <c r="N298" s="1705"/>
      <c r="O298" s="1705"/>
      <c r="P298" s="1705"/>
      <c r="Q298" s="1705"/>
      <c r="R298" s="1705"/>
      <c r="T298" s="72" t="s">
        <v>765</v>
      </c>
      <c r="V298" s="72"/>
      <c r="W298" s="72"/>
      <c r="X298" s="72"/>
      <c r="Y298" s="72"/>
      <c r="AA298" s="1705" t="s">
        <v>2364</v>
      </c>
      <c r="AB298" s="1705"/>
      <c r="AC298" s="1705"/>
      <c r="AD298" s="1705"/>
      <c r="AE298" s="1705"/>
      <c r="AF298" s="1705"/>
      <c r="AG298" s="1705"/>
      <c r="AH298" s="1705"/>
      <c r="AI298" s="1705"/>
      <c r="AJ298" s="1705"/>
      <c r="AK298" s="1705"/>
      <c r="BA298" s="75"/>
    </row>
    <row r="299" spans="2:53" ht="13.2">
      <c r="B299" s="72" t="s">
        <v>767</v>
      </c>
      <c r="C299" s="72"/>
      <c r="D299" s="72"/>
      <c r="E299" s="72"/>
      <c r="F299" s="72"/>
      <c r="H299" s="1705" t="s">
        <v>2361</v>
      </c>
      <c r="I299" s="1705"/>
      <c r="J299" s="1705"/>
      <c r="K299" s="1705"/>
      <c r="L299" s="1705"/>
      <c r="M299" s="1705"/>
      <c r="N299" s="1705"/>
      <c r="O299" s="1705"/>
      <c r="P299" s="1705"/>
      <c r="Q299" s="1705"/>
      <c r="R299" s="1705"/>
      <c r="T299" s="72" t="s">
        <v>766</v>
      </c>
      <c r="V299" s="72"/>
      <c r="W299" s="72"/>
      <c r="X299" s="72"/>
      <c r="Y299" s="72"/>
      <c r="AA299" s="1705" t="s">
        <v>2352</v>
      </c>
      <c r="AB299" s="1705"/>
      <c r="AC299" s="1705"/>
      <c r="AD299" s="1705"/>
      <c r="AE299" s="1705"/>
      <c r="AF299" s="1705"/>
      <c r="AG299" s="1705"/>
      <c r="AH299" s="1705"/>
      <c r="AI299" s="1705"/>
      <c r="AJ299" s="1705"/>
      <c r="AK299" s="1705"/>
      <c r="BA299" s="75"/>
    </row>
    <row r="300" spans="2:53" ht="13.2">
      <c r="B300" s="72" t="s">
        <v>418</v>
      </c>
      <c r="C300" s="72"/>
      <c r="D300" s="72"/>
      <c r="E300" s="72"/>
      <c r="F300" s="72"/>
      <c r="H300" s="1705" t="s">
        <v>2362</v>
      </c>
      <c r="I300" s="1705"/>
      <c r="J300" s="1705"/>
      <c r="K300" s="1705"/>
      <c r="L300" s="1705"/>
      <c r="M300" s="1705"/>
      <c r="N300" s="1705"/>
      <c r="O300" s="1705"/>
      <c r="P300" s="1705"/>
      <c r="Q300" s="1705"/>
      <c r="R300" s="1705"/>
      <c r="T300" s="72" t="s">
        <v>418</v>
      </c>
      <c r="V300" s="72"/>
      <c r="W300" s="72"/>
      <c r="X300" s="72"/>
      <c r="Y300" s="72"/>
      <c r="AA300" s="1705" t="s">
        <v>2365</v>
      </c>
      <c r="AB300" s="1705"/>
      <c r="AC300" s="1705"/>
      <c r="AD300" s="1705"/>
      <c r="AE300" s="1705"/>
      <c r="AF300" s="1705"/>
      <c r="AG300" s="1705"/>
      <c r="AH300" s="1705"/>
      <c r="AI300" s="1705"/>
      <c r="AJ300" s="1705"/>
      <c r="AK300" s="1705"/>
      <c r="BA300" s="75"/>
    </row>
    <row r="301" spans="2:53" ht="12.75" customHeight="1">
      <c r="B301" s="72" t="s">
        <v>419</v>
      </c>
      <c r="C301" s="72"/>
      <c r="D301" s="72"/>
      <c r="E301" s="72"/>
      <c r="F301" s="72"/>
      <c r="G301" s="72"/>
      <c r="H301" s="1789" t="s">
        <v>2369</v>
      </c>
      <c r="I301" s="1958"/>
      <c r="J301" s="1958"/>
      <c r="K301" s="1958"/>
      <c r="L301" s="1958"/>
      <c r="M301" s="1958"/>
      <c r="N301" s="8" t="s">
        <v>900</v>
      </c>
      <c r="O301" s="8"/>
      <c r="P301" s="1955"/>
      <c r="Q301" s="1955"/>
      <c r="R301" s="1955"/>
      <c r="S301" s="72"/>
      <c r="T301" s="72" t="s">
        <v>419</v>
      </c>
      <c r="V301" s="72"/>
      <c r="W301" s="72"/>
      <c r="X301" s="72"/>
      <c r="Y301" s="72"/>
      <c r="AA301" s="1789" t="s">
        <v>2348</v>
      </c>
      <c r="AB301" s="1958"/>
      <c r="AC301" s="1958"/>
      <c r="AD301" s="1958"/>
      <c r="AE301" s="1958"/>
      <c r="AF301" s="1958"/>
      <c r="AG301" s="8" t="s">
        <v>900</v>
      </c>
      <c r="AH301" s="8"/>
      <c r="AI301" s="1955">
        <v>2230</v>
      </c>
      <c r="AJ301" s="1955"/>
      <c r="AK301" s="1955"/>
      <c r="BA301" s="75"/>
    </row>
    <row r="302" spans="2:53" ht="13.2">
      <c r="B302" s="72" t="s">
        <v>420</v>
      </c>
      <c r="C302" s="72"/>
      <c r="D302" s="72"/>
      <c r="E302" s="72"/>
      <c r="F302" s="72"/>
      <c r="G302" s="72"/>
      <c r="H302" s="1699"/>
      <c r="I302" s="1699"/>
      <c r="J302" s="1699"/>
      <c r="K302" s="1699"/>
      <c r="L302" s="1699"/>
      <c r="M302" s="1699"/>
      <c r="N302" s="74"/>
      <c r="O302" s="74"/>
      <c r="P302" s="76"/>
      <c r="Q302" s="76"/>
      <c r="R302" s="76"/>
      <c r="S302" s="72"/>
      <c r="T302" s="72" t="s">
        <v>420</v>
      </c>
      <c r="V302" s="72"/>
      <c r="W302" s="72"/>
      <c r="X302" s="72"/>
      <c r="Y302" s="72"/>
      <c r="AA302" s="1699"/>
      <c r="AB302" s="1699"/>
      <c r="AC302" s="1699"/>
      <c r="AD302" s="1699"/>
      <c r="AE302" s="1699"/>
      <c r="AF302" s="1699"/>
      <c r="AG302" s="74"/>
      <c r="AH302" s="74"/>
      <c r="AI302" s="76"/>
      <c r="AJ302" s="76"/>
      <c r="AK302" s="76"/>
      <c r="BA302" s="75"/>
    </row>
    <row r="303" spans="2:53" ht="13.2">
      <c r="B303" s="72" t="s">
        <v>768</v>
      </c>
      <c r="C303" s="72"/>
      <c r="D303" s="72"/>
      <c r="E303" s="72"/>
      <c r="F303" s="72"/>
      <c r="G303" s="72"/>
      <c r="H303" s="1705" t="s">
        <v>2366</v>
      </c>
      <c r="I303" s="1705"/>
      <c r="J303" s="1705"/>
      <c r="K303" s="1705"/>
      <c r="L303" s="1705"/>
      <c r="M303" s="1705"/>
      <c r="N303" s="1697"/>
      <c r="O303" s="1697"/>
      <c r="P303" s="1697"/>
      <c r="Q303" s="1697"/>
      <c r="R303" s="1697"/>
      <c r="S303" s="72"/>
      <c r="T303" s="72" t="s">
        <v>768</v>
      </c>
      <c r="V303" s="72"/>
      <c r="W303" s="72"/>
      <c r="X303" s="72"/>
      <c r="Y303" s="72"/>
      <c r="AA303" s="1705" t="s">
        <v>2367</v>
      </c>
      <c r="AB303" s="1705"/>
      <c r="AC303" s="1705"/>
      <c r="AD303" s="1705"/>
      <c r="AE303" s="1705"/>
      <c r="AF303" s="1705"/>
      <c r="AG303" s="1697"/>
      <c r="AH303" s="1697"/>
      <c r="AI303" s="1697"/>
      <c r="AJ303" s="1697"/>
      <c r="AK303" s="1697"/>
      <c r="BA303" s="75"/>
    </row>
    <row r="304" spans="2:53" ht="13.2">
      <c r="BA304" s="75"/>
    </row>
    <row r="305" spans="1:53" ht="12.75" customHeight="1">
      <c r="B305" s="72" t="s">
        <v>769</v>
      </c>
      <c r="C305" s="72"/>
      <c r="D305" s="72"/>
      <c r="E305" s="72"/>
      <c r="F305" s="72"/>
      <c r="H305" s="1697"/>
      <c r="I305" s="1697"/>
      <c r="J305" s="1697"/>
      <c r="K305" s="1697"/>
      <c r="L305" s="1697"/>
      <c r="M305" s="1697"/>
      <c r="N305" s="1697"/>
      <c r="O305" s="1697"/>
      <c r="P305" s="1697"/>
      <c r="Q305" s="1697"/>
      <c r="R305" s="1697"/>
      <c r="T305" s="8" t="s">
        <v>1224</v>
      </c>
      <c r="V305" s="72"/>
      <c r="W305" s="72"/>
      <c r="X305" s="72"/>
      <c r="Y305" s="72"/>
      <c r="AA305" s="1697"/>
      <c r="AB305" s="1697"/>
      <c r="AC305" s="1697"/>
      <c r="AD305" s="1697"/>
      <c r="AE305" s="1697"/>
      <c r="AF305" s="1697"/>
      <c r="AG305" s="1697"/>
      <c r="AH305" s="1697"/>
      <c r="AI305" s="1697"/>
      <c r="AJ305" s="1697"/>
      <c r="AK305" s="1697"/>
      <c r="BA305" s="75"/>
    </row>
    <row r="306" spans="1:53" ht="12.75" customHeight="1">
      <c r="B306" s="72" t="s">
        <v>765</v>
      </c>
      <c r="C306" s="72"/>
      <c r="D306" s="72"/>
      <c r="E306" s="72"/>
      <c r="F306" s="72"/>
      <c r="H306" s="1705"/>
      <c r="I306" s="1705"/>
      <c r="J306" s="1705"/>
      <c r="K306" s="1705"/>
      <c r="L306" s="1705"/>
      <c r="M306" s="1705"/>
      <c r="N306" s="1705"/>
      <c r="O306" s="1705"/>
      <c r="P306" s="1705"/>
      <c r="Q306" s="1705"/>
      <c r="R306" s="1705"/>
      <c r="T306" s="72" t="s">
        <v>765</v>
      </c>
      <c r="V306" s="72"/>
      <c r="W306" s="72"/>
      <c r="X306" s="72"/>
      <c r="Y306" s="72"/>
      <c r="AA306" s="1705"/>
      <c r="AB306" s="1705"/>
      <c r="AC306" s="1705"/>
      <c r="AD306" s="1705"/>
      <c r="AE306" s="1705"/>
      <c r="AF306" s="1705"/>
      <c r="AG306" s="1705"/>
      <c r="AH306" s="1705"/>
      <c r="AI306" s="1705"/>
      <c r="AJ306" s="1705"/>
      <c r="AK306" s="1705"/>
      <c r="BA306" s="75"/>
    </row>
    <row r="307" spans="1:53" ht="12.75" customHeight="1">
      <c r="B307" s="72" t="s">
        <v>767</v>
      </c>
      <c r="C307" s="72"/>
      <c r="D307" s="72"/>
      <c r="E307" s="72"/>
      <c r="F307" s="72"/>
      <c r="H307" s="1705"/>
      <c r="I307" s="1705"/>
      <c r="J307" s="1705"/>
      <c r="K307" s="1705"/>
      <c r="L307" s="1705"/>
      <c r="M307" s="1705"/>
      <c r="N307" s="1705"/>
      <c r="O307" s="1705"/>
      <c r="P307" s="1705"/>
      <c r="Q307" s="1705"/>
      <c r="R307" s="1705"/>
      <c r="T307" s="72" t="s">
        <v>766</v>
      </c>
      <c r="V307" s="72"/>
      <c r="W307" s="72"/>
      <c r="X307" s="72"/>
      <c r="Y307" s="72"/>
      <c r="AA307" s="1705"/>
      <c r="AB307" s="1705"/>
      <c r="AC307" s="1705"/>
      <c r="AD307" s="1705"/>
      <c r="AE307" s="1705"/>
      <c r="AF307" s="1705"/>
      <c r="AG307" s="1705"/>
      <c r="AH307" s="1705"/>
      <c r="AI307" s="1705"/>
      <c r="AJ307" s="1705"/>
      <c r="AK307" s="1705"/>
      <c r="BA307" s="75"/>
    </row>
    <row r="308" spans="1:53" ht="12.75" customHeight="1">
      <c r="B308" s="72" t="s">
        <v>418</v>
      </c>
      <c r="C308" s="72"/>
      <c r="D308" s="72"/>
      <c r="E308" s="72"/>
      <c r="F308" s="72"/>
      <c r="H308" s="1705"/>
      <c r="I308" s="1705"/>
      <c r="J308" s="1705"/>
      <c r="K308" s="1705"/>
      <c r="L308" s="1705"/>
      <c r="M308" s="1705"/>
      <c r="N308" s="1705"/>
      <c r="O308" s="1705"/>
      <c r="P308" s="1705"/>
      <c r="Q308" s="1705"/>
      <c r="R308" s="1705"/>
      <c r="T308" s="72" t="s">
        <v>418</v>
      </c>
      <c r="V308" s="72"/>
      <c r="W308" s="72"/>
      <c r="X308" s="72"/>
      <c r="Y308" s="72"/>
      <c r="AA308" s="1705"/>
      <c r="AB308" s="1705"/>
      <c r="AC308" s="1705"/>
      <c r="AD308" s="1705"/>
      <c r="AE308" s="1705"/>
      <c r="AF308" s="1705"/>
      <c r="AG308" s="1705"/>
      <c r="AH308" s="1705"/>
      <c r="AI308" s="1705"/>
      <c r="AJ308" s="1705"/>
      <c r="AK308" s="1705"/>
      <c r="BA308" s="75"/>
    </row>
    <row r="309" spans="1:53" ht="13.2">
      <c r="B309" s="72" t="s">
        <v>419</v>
      </c>
      <c r="C309" s="72"/>
      <c r="D309" s="72"/>
      <c r="E309" s="72"/>
      <c r="F309" s="72"/>
      <c r="G309" s="72"/>
      <c r="H309" s="1958"/>
      <c r="I309" s="1958"/>
      <c r="J309" s="1958"/>
      <c r="K309" s="1958"/>
      <c r="L309" s="1958"/>
      <c r="M309" s="1958"/>
      <c r="N309" s="8" t="s">
        <v>900</v>
      </c>
      <c r="O309" s="8"/>
      <c r="P309" s="1955"/>
      <c r="Q309" s="1955"/>
      <c r="R309" s="1955"/>
      <c r="S309" s="72"/>
      <c r="T309" s="72" t="s">
        <v>419</v>
      </c>
      <c r="V309" s="72"/>
      <c r="W309" s="72"/>
      <c r="X309" s="72"/>
      <c r="Y309" s="72"/>
      <c r="AA309" s="1958"/>
      <c r="AB309" s="1958"/>
      <c r="AC309" s="1958"/>
      <c r="AD309" s="1958"/>
      <c r="AE309" s="1958"/>
      <c r="AF309" s="1958"/>
      <c r="AG309" s="8" t="s">
        <v>900</v>
      </c>
      <c r="AH309" s="8"/>
      <c r="AI309" s="1955"/>
      <c r="AJ309" s="1955"/>
      <c r="AK309" s="1955"/>
      <c r="BA309" s="75"/>
    </row>
    <row r="310" spans="1:53" ht="13.2">
      <c r="B310" s="72" t="s">
        <v>420</v>
      </c>
      <c r="C310" s="72"/>
      <c r="D310" s="72"/>
      <c r="E310" s="72"/>
      <c r="F310" s="72"/>
      <c r="G310" s="72"/>
      <c r="H310" s="1699"/>
      <c r="I310" s="1699"/>
      <c r="J310" s="1699"/>
      <c r="K310" s="1699"/>
      <c r="L310" s="1699"/>
      <c r="M310" s="1699"/>
      <c r="N310" s="74"/>
      <c r="O310" s="74"/>
      <c r="P310" s="76"/>
      <c r="Q310" s="76"/>
      <c r="R310" s="76"/>
      <c r="S310" s="72"/>
      <c r="T310" s="72" t="s">
        <v>420</v>
      </c>
      <c r="V310" s="72"/>
      <c r="W310" s="72"/>
      <c r="X310" s="72"/>
      <c r="Y310" s="72"/>
      <c r="AA310" s="1699"/>
      <c r="AB310" s="1699"/>
      <c r="AC310" s="1699"/>
      <c r="AD310" s="1699"/>
      <c r="AE310" s="1699"/>
      <c r="AF310" s="1699"/>
      <c r="AG310" s="74"/>
      <c r="AH310" s="74"/>
      <c r="AI310" s="76"/>
      <c r="AJ310" s="76"/>
      <c r="AK310" s="76"/>
      <c r="BA310" s="75"/>
    </row>
    <row r="311" spans="1:53" ht="13.2">
      <c r="B311" s="72" t="s">
        <v>768</v>
      </c>
      <c r="C311" s="72"/>
      <c r="D311" s="72"/>
      <c r="E311" s="72"/>
      <c r="F311" s="72"/>
      <c r="G311" s="72"/>
      <c r="H311" s="1705"/>
      <c r="I311" s="1705"/>
      <c r="J311" s="1705"/>
      <c r="K311" s="1705"/>
      <c r="L311" s="1705"/>
      <c r="M311" s="1705"/>
      <c r="N311" s="1697"/>
      <c r="O311" s="1697"/>
      <c r="P311" s="1697"/>
      <c r="Q311" s="1697"/>
      <c r="R311" s="1697"/>
      <c r="S311" s="72"/>
      <c r="T311" s="72" t="s">
        <v>768</v>
      </c>
      <c r="V311" s="72"/>
      <c r="W311" s="72"/>
      <c r="X311" s="72"/>
      <c r="Y311" s="72"/>
      <c r="AA311" s="1705"/>
      <c r="AB311" s="1705"/>
      <c r="AC311" s="1705"/>
      <c r="AD311" s="1705"/>
      <c r="AE311" s="1705"/>
      <c r="AF311" s="1705"/>
      <c r="AG311" s="1697"/>
      <c r="AH311" s="1697"/>
      <c r="AI311" s="1697"/>
      <c r="AJ311" s="1697"/>
      <c r="AK311" s="1697"/>
      <c r="BA311" s="75"/>
    </row>
    <row r="312" spans="1:53" ht="13.2">
      <c r="BA312" s="75"/>
    </row>
    <row r="313" spans="1:53" ht="13.2">
      <c r="B313" s="8" t="s">
        <v>1269</v>
      </c>
      <c r="C313" s="72"/>
      <c r="D313" s="72"/>
      <c r="E313" s="72"/>
      <c r="F313" s="72"/>
      <c r="H313" s="1697" t="s">
        <v>2455</v>
      </c>
      <c r="I313" s="1697"/>
      <c r="J313" s="1697"/>
      <c r="K313" s="1697"/>
      <c r="L313" s="1697"/>
      <c r="M313" s="1697"/>
      <c r="N313" s="1697"/>
      <c r="O313" s="1697"/>
      <c r="P313" s="1697"/>
      <c r="Q313" s="1697"/>
      <c r="R313" s="1697"/>
      <c r="T313" s="72" t="s">
        <v>41</v>
      </c>
      <c r="V313" s="72"/>
      <c r="W313" s="72"/>
      <c r="X313" s="72"/>
      <c r="Y313" s="72"/>
      <c r="AA313" s="1697" t="s">
        <v>2444</v>
      </c>
      <c r="AB313" s="1697"/>
      <c r="AC313" s="1697"/>
      <c r="AD313" s="1697"/>
      <c r="AE313" s="1697"/>
      <c r="AF313" s="1697"/>
      <c r="AG313" s="1697"/>
      <c r="AH313" s="1697"/>
      <c r="AI313" s="1697"/>
      <c r="AJ313" s="1697"/>
      <c r="AK313" s="1697"/>
      <c r="BA313" s="75"/>
    </row>
    <row r="314" spans="1:53" ht="13.2">
      <c r="B314" s="72" t="s">
        <v>765</v>
      </c>
      <c r="C314" s="72"/>
      <c r="D314" s="72"/>
      <c r="E314" s="72"/>
      <c r="F314" s="72"/>
      <c r="H314" s="1705" t="s">
        <v>2456</v>
      </c>
      <c r="I314" s="1705"/>
      <c r="J314" s="1705"/>
      <c r="K314" s="1705"/>
      <c r="L314" s="1705"/>
      <c r="M314" s="1705"/>
      <c r="N314" s="1705"/>
      <c r="O314" s="1705"/>
      <c r="P314" s="1705"/>
      <c r="Q314" s="1705"/>
      <c r="R314" s="1705"/>
      <c r="T314" s="72" t="s">
        <v>765</v>
      </c>
      <c r="V314" s="72"/>
      <c r="W314" s="72"/>
      <c r="X314" s="72"/>
      <c r="Y314" s="72"/>
      <c r="AA314" s="1705" t="s">
        <v>2461</v>
      </c>
      <c r="AB314" s="1705"/>
      <c r="AC314" s="1705"/>
      <c r="AD314" s="1705"/>
      <c r="AE314" s="1705"/>
      <c r="AF314" s="1705"/>
      <c r="AG314" s="1705"/>
      <c r="AH314" s="1705"/>
      <c r="AI314" s="1705"/>
      <c r="AJ314" s="1705"/>
      <c r="AK314" s="1705"/>
      <c r="BA314" s="75"/>
    </row>
    <row r="315" spans="1:53" ht="12.75" customHeight="1">
      <c r="B315" s="72" t="s">
        <v>767</v>
      </c>
      <c r="C315" s="72"/>
      <c r="D315" s="72"/>
      <c r="E315" s="72"/>
      <c r="F315" s="72"/>
      <c r="H315" s="1705" t="s">
        <v>2457</v>
      </c>
      <c r="I315" s="1705"/>
      <c r="J315" s="1705"/>
      <c r="K315" s="1705"/>
      <c r="L315" s="1705"/>
      <c r="M315" s="1705"/>
      <c r="N315" s="1705"/>
      <c r="O315" s="1705"/>
      <c r="P315" s="1705"/>
      <c r="Q315" s="1705"/>
      <c r="R315" s="1705"/>
      <c r="T315" s="72" t="s">
        <v>766</v>
      </c>
      <c r="V315" s="72"/>
      <c r="W315" s="72"/>
      <c r="X315" s="72"/>
      <c r="Y315" s="72"/>
      <c r="AA315" s="1705" t="s">
        <v>2463</v>
      </c>
      <c r="AB315" s="1705"/>
      <c r="AC315" s="1705"/>
      <c r="AD315" s="1705"/>
      <c r="AE315" s="1705"/>
      <c r="AF315" s="1705"/>
      <c r="AG315" s="1705"/>
      <c r="AH315" s="1705"/>
      <c r="AI315" s="1705"/>
      <c r="AJ315" s="1705"/>
      <c r="AK315" s="1705"/>
      <c r="BA315" s="75"/>
    </row>
    <row r="316" spans="1:53" ht="12.75" customHeight="1">
      <c r="A316" s="50"/>
      <c r="B316" s="72" t="s">
        <v>418</v>
      </c>
      <c r="C316" s="72"/>
      <c r="D316" s="72"/>
      <c r="E316" s="72"/>
      <c r="F316" s="72"/>
      <c r="H316" s="1705" t="s">
        <v>2458</v>
      </c>
      <c r="I316" s="1705"/>
      <c r="J316" s="1705"/>
      <c r="K316" s="1705"/>
      <c r="L316" s="1705"/>
      <c r="M316" s="1705"/>
      <c r="N316" s="1705"/>
      <c r="O316" s="1705"/>
      <c r="P316" s="1705"/>
      <c r="Q316" s="1705"/>
      <c r="R316" s="1705"/>
      <c r="T316" s="72" t="s">
        <v>418</v>
      </c>
      <c r="V316" s="72"/>
      <c r="W316" s="72"/>
      <c r="X316" s="72"/>
      <c r="Y316" s="72"/>
      <c r="AA316" s="1705" t="s">
        <v>2462</v>
      </c>
      <c r="AB316" s="1705"/>
      <c r="AC316" s="1705"/>
      <c r="AD316" s="1705"/>
      <c r="AE316" s="1705"/>
      <c r="AF316" s="1705"/>
      <c r="AG316" s="1705"/>
      <c r="AH316" s="1705"/>
      <c r="AI316" s="1705"/>
      <c r="AJ316" s="1705"/>
      <c r="AK316" s="1705"/>
      <c r="AL316" s="50"/>
      <c r="BA316" s="75"/>
    </row>
    <row r="317" spans="1:53" ht="12.75" customHeight="1">
      <c r="A317" s="50"/>
      <c r="B317" s="72" t="s">
        <v>419</v>
      </c>
      <c r="C317" s="72"/>
      <c r="D317" s="72"/>
      <c r="E317" s="72"/>
      <c r="F317" s="72"/>
      <c r="G317" s="72"/>
      <c r="H317" s="1789" t="s">
        <v>2459</v>
      </c>
      <c r="I317" s="1958"/>
      <c r="J317" s="1958"/>
      <c r="K317" s="1958"/>
      <c r="L317" s="1958"/>
      <c r="M317" s="1958"/>
      <c r="N317" s="8" t="s">
        <v>900</v>
      </c>
      <c r="O317" s="8"/>
      <c r="P317" s="1955"/>
      <c r="Q317" s="1955"/>
      <c r="R317" s="1955"/>
      <c r="S317" s="72"/>
      <c r="T317" s="72" t="s">
        <v>419</v>
      </c>
      <c r="V317" s="72"/>
      <c r="W317" s="72"/>
      <c r="X317" s="72"/>
      <c r="Y317" s="72"/>
      <c r="AA317" s="1789" t="s">
        <v>2400</v>
      </c>
      <c r="AB317" s="1958"/>
      <c r="AC317" s="1958"/>
      <c r="AD317" s="1958"/>
      <c r="AE317" s="1958"/>
      <c r="AF317" s="1958"/>
      <c r="AG317" s="8" t="s">
        <v>900</v>
      </c>
      <c r="AH317" s="8"/>
      <c r="AI317" s="1955"/>
      <c r="AJ317" s="1955"/>
      <c r="AK317" s="1955"/>
      <c r="AL317" s="50"/>
      <c r="BA317" s="75"/>
    </row>
    <row r="318" spans="1:53" ht="12.75" customHeight="1">
      <c r="A318" s="50"/>
      <c r="B318" s="72" t="s">
        <v>420</v>
      </c>
      <c r="C318" s="72"/>
      <c r="D318" s="72"/>
      <c r="E318" s="72"/>
      <c r="F318" s="72"/>
      <c r="G318" s="72"/>
      <c r="H318" s="1699"/>
      <c r="I318" s="1699"/>
      <c r="J318" s="1699"/>
      <c r="K318" s="1699"/>
      <c r="L318" s="1699"/>
      <c r="M318" s="1699"/>
      <c r="N318" s="74"/>
      <c r="O318" s="74"/>
      <c r="P318" s="76"/>
      <c r="Q318" s="76"/>
      <c r="R318" s="76"/>
      <c r="S318" s="72"/>
      <c r="T318" s="72" t="s">
        <v>420</v>
      </c>
      <c r="V318" s="72"/>
      <c r="W318" s="72"/>
      <c r="X318" s="72"/>
      <c r="Y318" s="72"/>
      <c r="AA318" s="1698" t="s">
        <v>2464</v>
      </c>
      <c r="AB318" s="1699"/>
      <c r="AC318" s="1699"/>
      <c r="AD318" s="1699"/>
      <c r="AE318" s="1699"/>
      <c r="AF318" s="1699"/>
      <c r="AG318" s="74"/>
      <c r="AH318" s="74"/>
      <c r="AI318" s="76"/>
      <c r="AJ318" s="76"/>
      <c r="AK318" s="76"/>
      <c r="AL318" s="50"/>
      <c r="BA318" s="75"/>
    </row>
    <row r="319" spans="1:53" ht="13.2">
      <c r="A319" s="50"/>
      <c r="B319" s="72" t="s">
        <v>768</v>
      </c>
      <c r="C319" s="72"/>
      <c r="D319" s="72"/>
      <c r="E319" s="72"/>
      <c r="F319" s="72"/>
      <c r="G319" s="72"/>
      <c r="H319" s="1705" t="s">
        <v>2460</v>
      </c>
      <c r="I319" s="1705"/>
      <c r="J319" s="1705"/>
      <c r="K319" s="1705"/>
      <c r="L319" s="1705"/>
      <c r="M319" s="1705"/>
      <c r="N319" s="1697"/>
      <c r="O319" s="1697"/>
      <c r="P319" s="1697"/>
      <c r="Q319" s="1697"/>
      <c r="R319" s="1697"/>
      <c r="S319" s="72"/>
      <c r="T319" s="72" t="s">
        <v>768</v>
      </c>
      <c r="V319" s="72"/>
      <c r="W319" s="72"/>
      <c r="X319" s="72"/>
      <c r="Y319" s="72"/>
      <c r="AA319" s="1706" t="s">
        <v>2471</v>
      </c>
      <c r="AB319" s="1705"/>
      <c r="AC319" s="1705"/>
      <c r="AD319" s="1705"/>
      <c r="AE319" s="1705"/>
      <c r="AF319" s="1705"/>
      <c r="AG319" s="1697"/>
      <c r="AH319" s="1697"/>
      <c r="AI319" s="1697"/>
      <c r="AJ319" s="1697"/>
      <c r="AK319" s="169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97" t="s">
        <v>2370</v>
      </c>
      <c r="I321" s="1697"/>
      <c r="J321" s="1697"/>
      <c r="K321" s="1697"/>
      <c r="L321" s="1697"/>
      <c r="M321" s="1697"/>
      <c r="N321" s="1697"/>
      <c r="O321" s="1697"/>
      <c r="P321" s="1697"/>
      <c r="Q321" s="1697"/>
      <c r="R321" s="1697"/>
      <c r="T321" s="72" t="s">
        <v>42</v>
      </c>
      <c r="V321" s="72"/>
      <c r="W321" s="72"/>
      <c r="X321" s="72"/>
      <c r="Y321" s="72"/>
      <c r="AA321" s="1697" t="s">
        <v>2374</v>
      </c>
      <c r="AB321" s="1697"/>
      <c r="AC321" s="1697"/>
      <c r="AD321" s="1697"/>
      <c r="AE321" s="1697"/>
      <c r="AF321" s="1697"/>
      <c r="AG321" s="1697"/>
      <c r="AH321" s="1697"/>
      <c r="AI321" s="1697"/>
      <c r="AJ321" s="1697"/>
      <c r="AK321" s="1697"/>
      <c r="AL321" s="50"/>
      <c r="BA321" s="75"/>
    </row>
    <row r="322" spans="1:53" ht="13.2">
      <c r="A322" s="50"/>
      <c r="B322" s="72" t="s">
        <v>765</v>
      </c>
      <c r="C322" s="72"/>
      <c r="D322" s="72"/>
      <c r="E322" s="72"/>
      <c r="F322" s="72"/>
      <c r="H322" s="1705" t="s">
        <v>2371</v>
      </c>
      <c r="I322" s="1705"/>
      <c r="J322" s="1705"/>
      <c r="K322" s="1705"/>
      <c r="L322" s="1705"/>
      <c r="M322" s="1705"/>
      <c r="N322" s="1705"/>
      <c r="O322" s="1705"/>
      <c r="P322" s="1705"/>
      <c r="Q322" s="1705"/>
      <c r="R322" s="1705"/>
      <c r="T322" s="72" t="s">
        <v>765</v>
      </c>
      <c r="V322" s="72"/>
      <c r="W322" s="72"/>
      <c r="X322" s="72"/>
      <c r="Y322" s="72"/>
      <c r="AA322" s="1705" t="s">
        <v>2375</v>
      </c>
      <c r="AB322" s="1705"/>
      <c r="AC322" s="1705"/>
      <c r="AD322" s="1705"/>
      <c r="AE322" s="1705"/>
      <c r="AF322" s="1705"/>
      <c r="AG322" s="1705"/>
      <c r="AH322" s="1705"/>
      <c r="AI322" s="1705"/>
      <c r="AJ322" s="1705"/>
      <c r="AK322" s="1705"/>
      <c r="AL322" s="50"/>
      <c r="BA322" s="75"/>
    </row>
    <row r="323" spans="1:53" ht="13.2">
      <c r="A323" s="50"/>
      <c r="B323" s="72" t="s">
        <v>767</v>
      </c>
      <c r="C323" s="72"/>
      <c r="D323" s="72"/>
      <c r="E323" s="72"/>
      <c r="F323" s="72"/>
      <c r="H323" s="1705" t="s">
        <v>2372</v>
      </c>
      <c r="I323" s="1705"/>
      <c r="J323" s="1705"/>
      <c r="K323" s="1705"/>
      <c r="L323" s="1705"/>
      <c r="M323" s="1705"/>
      <c r="N323" s="1705"/>
      <c r="O323" s="1705"/>
      <c r="P323" s="1705"/>
      <c r="Q323" s="1705"/>
      <c r="R323" s="1705"/>
      <c r="T323" s="72" t="s">
        <v>766</v>
      </c>
      <c r="V323" s="72"/>
      <c r="W323" s="72"/>
      <c r="X323" s="72"/>
      <c r="Y323" s="72"/>
      <c r="AA323" s="1705" t="s">
        <v>2376</v>
      </c>
      <c r="AB323" s="1705"/>
      <c r="AC323" s="1705"/>
      <c r="AD323" s="1705"/>
      <c r="AE323" s="1705"/>
      <c r="AF323" s="1705"/>
      <c r="AG323" s="1705"/>
      <c r="AH323" s="1705"/>
      <c r="AI323" s="1705"/>
      <c r="AJ323" s="1705"/>
      <c r="AK323" s="1705"/>
      <c r="AL323" s="50"/>
      <c r="BA323" s="75"/>
    </row>
    <row r="324" spans="1:53" ht="13.2">
      <c r="A324" s="50"/>
      <c r="B324" s="72" t="s">
        <v>418</v>
      </c>
      <c r="C324" s="72"/>
      <c r="D324" s="72"/>
      <c r="E324" s="72"/>
      <c r="F324" s="72"/>
      <c r="H324" s="1705" t="s">
        <v>2373</v>
      </c>
      <c r="I324" s="1705"/>
      <c r="J324" s="1705"/>
      <c r="K324" s="1705"/>
      <c r="L324" s="1705"/>
      <c r="M324" s="1705"/>
      <c r="N324" s="1705"/>
      <c r="O324" s="1705"/>
      <c r="P324" s="1705"/>
      <c r="Q324" s="1705"/>
      <c r="R324" s="1705"/>
      <c r="T324" s="72" t="s">
        <v>418</v>
      </c>
      <c r="V324" s="72"/>
      <c r="W324" s="72"/>
      <c r="X324" s="72"/>
      <c r="Y324" s="72"/>
      <c r="AA324" s="1705" t="s">
        <v>2377</v>
      </c>
      <c r="AB324" s="1705"/>
      <c r="AC324" s="1705"/>
      <c r="AD324" s="1705"/>
      <c r="AE324" s="1705"/>
      <c r="AF324" s="1705"/>
      <c r="AG324" s="1705"/>
      <c r="AH324" s="1705"/>
      <c r="AI324" s="1705"/>
      <c r="AJ324" s="1705"/>
      <c r="AK324" s="1705"/>
      <c r="AL324" s="50"/>
      <c r="BA324" s="75"/>
    </row>
    <row r="325" spans="1:53" ht="13.2">
      <c r="A325" s="50"/>
      <c r="B325" s="72" t="s">
        <v>419</v>
      </c>
      <c r="C325" s="72"/>
      <c r="D325" s="72"/>
      <c r="E325" s="72"/>
      <c r="F325" s="72"/>
      <c r="G325" s="72"/>
      <c r="H325" s="1789" t="s">
        <v>2385</v>
      </c>
      <c r="I325" s="1958"/>
      <c r="J325" s="1958"/>
      <c r="K325" s="1958"/>
      <c r="L325" s="1958"/>
      <c r="M325" s="1958"/>
      <c r="N325" s="8" t="s">
        <v>900</v>
      </c>
      <c r="O325" s="8"/>
      <c r="P325" s="1955"/>
      <c r="Q325" s="1955"/>
      <c r="R325" s="1955"/>
      <c r="S325" s="72"/>
      <c r="T325" s="72" t="s">
        <v>419</v>
      </c>
      <c r="V325" s="72"/>
      <c r="W325" s="72"/>
      <c r="X325" s="72"/>
      <c r="Y325" s="72"/>
      <c r="AA325" s="1789" t="s">
        <v>2386</v>
      </c>
      <c r="AB325" s="1958"/>
      <c r="AC325" s="1958"/>
      <c r="AD325" s="1958"/>
      <c r="AE325" s="1958"/>
      <c r="AF325" s="1958"/>
      <c r="AG325" s="8" t="s">
        <v>900</v>
      </c>
      <c r="AH325" s="8"/>
      <c r="AI325" s="1955"/>
      <c r="AJ325" s="1955"/>
      <c r="AK325" s="1955"/>
      <c r="AL325" s="50"/>
      <c r="BA325" s="75"/>
    </row>
    <row r="326" spans="1:53" ht="13.2">
      <c r="A326" s="50"/>
      <c r="B326" s="72" t="s">
        <v>420</v>
      </c>
      <c r="C326" s="72"/>
      <c r="D326" s="72"/>
      <c r="E326" s="72"/>
      <c r="F326" s="72"/>
      <c r="G326" s="72"/>
      <c r="H326" s="1699"/>
      <c r="I326" s="1699"/>
      <c r="J326" s="1699"/>
      <c r="K326" s="1699"/>
      <c r="L326" s="1699"/>
      <c r="M326" s="1699"/>
      <c r="N326" s="74"/>
      <c r="O326" s="74"/>
      <c r="P326" s="76"/>
      <c r="Q326" s="76"/>
      <c r="R326" s="76"/>
      <c r="S326" s="72"/>
      <c r="T326" s="72" t="s">
        <v>420</v>
      </c>
      <c r="V326" s="72"/>
      <c r="W326" s="72"/>
      <c r="X326" s="72"/>
      <c r="Y326" s="72"/>
      <c r="AA326" s="1699"/>
      <c r="AB326" s="1699"/>
      <c r="AC326" s="1699"/>
      <c r="AD326" s="1699"/>
      <c r="AE326" s="1699"/>
      <c r="AF326" s="1699"/>
      <c r="AG326" s="74"/>
      <c r="AH326" s="74"/>
      <c r="AI326" s="76"/>
      <c r="AJ326" s="76"/>
      <c r="AK326" s="76"/>
      <c r="AL326" s="50"/>
      <c r="BA326" s="75"/>
    </row>
    <row r="327" spans="1:53" ht="13.2">
      <c r="A327" s="50"/>
      <c r="B327" s="72" t="s">
        <v>768</v>
      </c>
      <c r="C327" s="72"/>
      <c r="D327" s="72"/>
      <c r="E327" s="72"/>
      <c r="F327" s="72"/>
      <c r="G327" s="72"/>
      <c r="H327" s="1705" t="s">
        <v>2383</v>
      </c>
      <c r="I327" s="1705"/>
      <c r="J327" s="1705"/>
      <c r="K327" s="1705"/>
      <c r="L327" s="1705"/>
      <c r="M327" s="1705"/>
      <c r="N327" s="1697"/>
      <c r="O327" s="1697"/>
      <c r="P327" s="1697"/>
      <c r="Q327" s="1697"/>
      <c r="R327" s="1697"/>
      <c r="S327" s="72"/>
      <c r="T327" s="72" t="s">
        <v>768</v>
      </c>
      <c r="V327" s="72"/>
      <c r="W327" s="72"/>
      <c r="X327" s="72"/>
      <c r="Y327" s="72"/>
      <c r="AA327" s="1705" t="s">
        <v>2384</v>
      </c>
      <c r="AB327" s="1705"/>
      <c r="AC327" s="1705"/>
      <c r="AD327" s="1705"/>
      <c r="AE327" s="1705"/>
      <c r="AF327" s="1705"/>
      <c r="AG327" s="1697"/>
      <c r="AH327" s="1697"/>
      <c r="AI327" s="1697"/>
      <c r="AJ327" s="1697"/>
      <c r="AK327" s="169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97" t="s">
        <v>2374</v>
      </c>
      <c r="I329" s="1697"/>
      <c r="J329" s="1697"/>
      <c r="K329" s="1697"/>
      <c r="L329" s="1697"/>
      <c r="M329" s="1697"/>
      <c r="N329" s="1697"/>
      <c r="O329" s="1697"/>
      <c r="P329" s="1697"/>
      <c r="Q329" s="1697"/>
      <c r="R329" s="1697"/>
      <c r="S329" s="723"/>
      <c r="T329" s="652" t="s">
        <v>1225</v>
      </c>
      <c r="V329" s="72"/>
      <c r="W329" s="72"/>
      <c r="X329" s="72"/>
      <c r="Y329" s="72"/>
      <c r="AA329" s="1957" t="s">
        <v>2378</v>
      </c>
      <c r="AB329" s="1697"/>
      <c r="AC329" s="1697"/>
      <c r="AD329" s="1697"/>
      <c r="AE329" s="1697"/>
      <c r="AF329" s="1697"/>
      <c r="AG329" s="1697"/>
      <c r="AH329" s="1697"/>
      <c r="AI329" s="1697"/>
      <c r="AJ329" s="1697"/>
      <c r="AK329" s="1697"/>
      <c r="AL329" s="50"/>
      <c r="BA329" s="75"/>
    </row>
    <row r="330" spans="1:53" ht="13.2">
      <c r="B330" s="72" t="s">
        <v>765</v>
      </c>
      <c r="C330" s="72"/>
      <c r="D330" s="72"/>
      <c r="E330" s="72"/>
      <c r="F330" s="72"/>
      <c r="H330" s="1705" t="s">
        <v>2375</v>
      </c>
      <c r="I330" s="1705"/>
      <c r="J330" s="1705"/>
      <c r="K330" s="1705"/>
      <c r="L330" s="1705"/>
      <c r="M330" s="1705"/>
      <c r="N330" s="1705"/>
      <c r="O330" s="1705"/>
      <c r="P330" s="1705"/>
      <c r="Q330" s="1705"/>
      <c r="R330" s="1705"/>
      <c r="S330" s="723"/>
      <c r="T330" s="72" t="s">
        <v>765</v>
      </c>
      <c r="V330" s="72"/>
      <c r="W330" s="72"/>
      <c r="X330" s="72"/>
      <c r="Y330" s="72"/>
      <c r="AA330" s="1706" t="s">
        <v>2379</v>
      </c>
      <c r="AB330" s="1705"/>
      <c r="AC330" s="1705"/>
      <c r="AD330" s="1705"/>
      <c r="AE330" s="1705"/>
      <c r="AF330" s="1705"/>
      <c r="AG330" s="1705"/>
      <c r="AH330" s="1705"/>
      <c r="AI330" s="1705"/>
      <c r="AJ330" s="1705"/>
      <c r="AK330" s="1705"/>
      <c r="AL330" s="50"/>
      <c r="BA330" s="75"/>
    </row>
    <row r="331" spans="1:53" ht="13.2">
      <c r="B331" s="72" t="s">
        <v>767</v>
      </c>
      <c r="C331" s="72"/>
      <c r="D331" s="72"/>
      <c r="E331" s="72"/>
      <c r="F331" s="72"/>
      <c r="G331" s="72"/>
      <c r="H331" s="1705" t="s">
        <v>2376</v>
      </c>
      <c r="I331" s="1705"/>
      <c r="J331" s="1705"/>
      <c r="K331" s="1705"/>
      <c r="L331" s="1705"/>
      <c r="M331" s="1705"/>
      <c r="N331" s="1705"/>
      <c r="O331" s="1705"/>
      <c r="P331" s="1705"/>
      <c r="Q331" s="1705"/>
      <c r="R331" s="1705"/>
      <c r="S331" s="723"/>
      <c r="T331" s="72" t="s">
        <v>766</v>
      </c>
      <c r="V331" s="72"/>
      <c r="W331" s="72"/>
      <c r="X331" s="72"/>
      <c r="Y331" s="72"/>
      <c r="AA331" s="1706" t="s">
        <v>2380</v>
      </c>
      <c r="AB331" s="1705"/>
      <c r="AC331" s="1705"/>
      <c r="AD331" s="1705"/>
      <c r="AE331" s="1705"/>
      <c r="AF331" s="1705"/>
      <c r="AG331" s="1705"/>
      <c r="AH331" s="1705"/>
      <c r="AI331" s="1705"/>
      <c r="AJ331" s="1705"/>
      <c r="AK331" s="1705"/>
      <c r="AL331" s="50"/>
      <c r="BA331" s="75"/>
    </row>
    <row r="332" spans="1:53" ht="13.2">
      <c r="A332" s="50"/>
      <c r="B332" s="72" t="s">
        <v>418</v>
      </c>
      <c r="C332" s="72"/>
      <c r="D332" s="72"/>
      <c r="E332" s="72"/>
      <c r="F332" s="72"/>
      <c r="H332" s="1705" t="s">
        <v>2377</v>
      </c>
      <c r="I332" s="1705"/>
      <c r="J332" s="1705"/>
      <c r="K332" s="1705"/>
      <c r="L332" s="1705"/>
      <c r="M332" s="1705"/>
      <c r="N332" s="1705"/>
      <c r="O332" s="1705"/>
      <c r="P332" s="1705"/>
      <c r="Q332" s="1705"/>
      <c r="R332" s="1705"/>
      <c r="S332" s="723"/>
      <c r="T332" s="72" t="s">
        <v>418</v>
      </c>
      <c r="V332" s="72"/>
      <c r="W332" s="72"/>
      <c r="X332" s="72"/>
      <c r="Y332" s="72"/>
      <c r="AA332" s="1706" t="s">
        <v>2381</v>
      </c>
      <c r="AB332" s="1705"/>
      <c r="AC332" s="1705"/>
      <c r="AD332" s="1705"/>
      <c r="AE332" s="1705"/>
      <c r="AF332" s="1705"/>
      <c r="AG332" s="1705"/>
      <c r="AH332" s="1705"/>
      <c r="AI332" s="1705"/>
      <c r="AJ332" s="1705"/>
      <c r="AK332" s="1705"/>
      <c r="AL332" s="50"/>
      <c r="BA332" s="75"/>
    </row>
    <row r="333" spans="1:53" ht="13.2">
      <c r="A333" s="50"/>
      <c r="B333" s="72" t="s">
        <v>419</v>
      </c>
      <c r="C333" s="72"/>
      <c r="D333" s="72"/>
      <c r="E333" s="72"/>
      <c r="F333" s="72"/>
      <c r="G333" s="72"/>
      <c r="H333" s="1789" t="s">
        <v>2386</v>
      </c>
      <c r="I333" s="1958"/>
      <c r="J333" s="1958"/>
      <c r="K333" s="1958"/>
      <c r="L333" s="1958"/>
      <c r="M333" s="1958"/>
      <c r="N333" s="8" t="s">
        <v>900</v>
      </c>
      <c r="O333" s="8"/>
      <c r="P333" s="1955"/>
      <c r="Q333" s="1955"/>
      <c r="R333" s="1955"/>
      <c r="S333" s="3"/>
      <c r="T333" s="72" t="s">
        <v>419</v>
      </c>
      <c r="V333" s="72"/>
      <c r="W333" s="72"/>
      <c r="X333" s="72"/>
      <c r="Y333" s="72"/>
      <c r="AA333" s="1789" t="s">
        <v>2387</v>
      </c>
      <c r="AB333" s="1958"/>
      <c r="AC333" s="1958"/>
      <c r="AD333" s="1958"/>
      <c r="AE333" s="1958"/>
      <c r="AF333" s="1958"/>
      <c r="AG333" s="8" t="s">
        <v>900</v>
      </c>
      <c r="AH333" s="8"/>
      <c r="AI333" s="1955"/>
      <c r="AJ333" s="1955"/>
      <c r="AK333" s="1955"/>
      <c r="AL333" s="50"/>
      <c r="BA333" s="75"/>
    </row>
    <row r="334" spans="1:53" ht="13.2">
      <c r="A334" s="50"/>
      <c r="B334" s="72" t="s">
        <v>420</v>
      </c>
      <c r="C334" s="72"/>
      <c r="D334" s="72"/>
      <c r="E334" s="72"/>
      <c r="F334" s="72"/>
      <c r="G334" s="72"/>
      <c r="H334" s="1699"/>
      <c r="I334" s="1699"/>
      <c r="J334" s="1699"/>
      <c r="K334" s="1699"/>
      <c r="L334" s="1699"/>
      <c r="M334" s="1699"/>
      <c r="N334" s="74"/>
      <c r="O334" s="74"/>
      <c r="P334" s="76"/>
      <c r="Q334" s="76"/>
      <c r="R334" s="76"/>
      <c r="S334" s="3"/>
      <c r="T334" s="72" t="s">
        <v>420</v>
      </c>
      <c r="V334" s="72"/>
      <c r="W334" s="72"/>
      <c r="X334" s="72"/>
      <c r="Y334" s="72"/>
      <c r="AA334" s="1699"/>
      <c r="AB334" s="1699"/>
      <c r="AC334" s="1699"/>
      <c r="AD334" s="1699"/>
      <c r="AE334" s="1699"/>
      <c r="AF334" s="1699"/>
      <c r="AG334" s="74"/>
      <c r="AH334" s="74"/>
      <c r="AI334" s="76"/>
      <c r="AJ334" s="76"/>
      <c r="AK334" s="76"/>
      <c r="AL334" s="50"/>
      <c r="BA334" s="75"/>
    </row>
    <row r="335" spans="1:53" ht="13.2">
      <c r="A335" s="50"/>
      <c r="B335" s="72" t="s">
        <v>768</v>
      </c>
      <c r="C335" s="72"/>
      <c r="D335" s="72"/>
      <c r="E335" s="72"/>
      <c r="F335" s="72"/>
      <c r="G335" s="72"/>
      <c r="H335" s="1705" t="s">
        <v>2384</v>
      </c>
      <c r="I335" s="1705"/>
      <c r="J335" s="1705"/>
      <c r="K335" s="1705"/>
      <c r="L335" s="1705"/>
      <c r="M335" s="1705"/>
      <c r="N335" s="1697"/>
      <c r="O335" s="1697"/>
      <c r="P335" s="1697"/>
      <c r="Q335" s="1697"/>
      <c r="R335" s="1697"/>
      <c r="S335" s="723"/>
      <c r="T335" s="72" t="s">
        <v>768</v>
      </c>
      <c r="V335" s="72"/>
      <c r="W335" s="72"/>
      <c r="X335" s="72"/>
      <c r="Y335" s="72"/>
      <c r="AA335" s="1706" t="s">
        <v>2382</v>
      </c>
      <c r="AB335" s="1705"/>
      <c r="AC335" s="1705"/>
      <c r="AD335" s="1705"/>
      <c r="AE335" s="1705"/>
      <c r="AF335" s="1705"/>
      <c r="AG335" s="1697"/>
      <c r="AH335" s="1697"/>
      <c r="AI335" s="1697"/>
      <c r="AJ335" s="1697"/>
      <c r="AK335" s="169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7"/>
      <c r="I337" s="1697"/>
      <c r="J337" s="1697"/>
      <c r="K337" s="1697"/>
      <c r="L337" s="1697"/>
      <c r="M337" s="1697"/>
      <c r="N337" s="1697"/>
      <c r="O337" s="1697"/>
      <c r="P337" s="1697"/>
      <c r="Q337" s="1697"/>
      <c r="R337" s="1697"/>
      <c r="T337" s="596" t="s">
        <v>1268</v>
      </c>
      <c r="AA337" s="1697"/>
      <c r="AB337" s="1697"/>
      <c r="AC337" s="1697"/>
      <c r="AD337" s="1697"/>
      <c r="AE337" s="1697"/>
      <c r="AF337" s="1697"/>
      <c r="AG337" s="1697"/>
      <c r="AH337" s="1697"/>
      <c r="AI337" s="1697"/>
      <c r="AJ337" s="1697"/>
      <c r="AK337" s="1697"/>
      <c r="AL337" s="50"/>
      <c r="BA337" s="75"/>
    </row>
    <row r="338" spans="1:53" ht="13.2">
      <c r="A338" s="50"/>
      <c r="B338" s="596" t="s">
        <v>765</v>
      </c>
      <c r="C338" s="596"/>
      <c r="D338" s="596"/>
      <c r="E338" s="596"/>
      <c r="F338" s="596"/>
      <c r="G338" s="597"/>
      <c r="H338" s="1705"/>
      <c r="I338" s="1705"/>
      <c r="J338" s="1705"/>
      <c r="K338" s="1705"/>
      <c r="L338" s="1705"/>
      <c r="M338" s="1705"/>
      <c r="N338" s="1705"/>
      <c r="O338" s="1705"/>
      <c r="P338" s="1705"/>
      <c r="Q338" s="1705"/>
      <c r="R338" s="1705"/>
      <c r="T338" s="72" t="s">
        <v>765</v>
      </c>
      <c r="AA338" s="1705"/>
      <c r="AB338" s="1705"/>
      <c r="AC338" s="1705"/>
      <c r="AD338" s="1705"/>
      <c r="AE338" s="1705"/>
      <c r="AF338" s="1705"/>
      <c r="AG338" s="1705"/>
      <c r="AH338" s="1705"/>
      <c r="AI338" s="1705"/>
      <c r="AJ338" s="1705"/>
      <c r="AK338" s="1705"/>
      <c r="AL338" s="50"/>
      <c r="BA338" s="75"/>
    </row>
    <row r="339" spans="1:53" ht="13.2">
      <c r="A339" s="50"/>
      <c r="B339" s="596" t="s">
        <v>767</v>
      </c>
      <c r="C339" s="596"/>
      <c r="D339" s="596"/>
      <c r="E339" s="596"/>
      <c r="F339" s="596"/>
      <c r="G339" s="596"/>
      <c r="H339" s="1705"/>
      <c r="I339" s="1705"/>
      <c r="J339" s="1705"/>
      <c r="K339" s="1705"/>
      <c r="L339" s="1705"/>
      <c r="M339" s="1705"/>
      <c r="N339" s="1705"/>
      <c r="O339" s="1705"/>
      <c r="P339" s="1705"/>
      <c r="Q339" s="1705"/>
      <c r="R339" s="1705"/>
      <c r="T339" s="72" t="s">
        <v>766</v>
      </c>
      <c r="AA339" s="1705"/>
      <c r="AB339" s="1705"/>
      <c r="AC339" s="1705"/>
      <c r="AD339" s="1705"/>
      <c r="AE339" s="1705"/>
      <c r="AF339" s="1705"/>
      <c r="AG339" s="1705"/>
      <c r="AH339" s="1705"/>
      <c r="AI339" s="1705"/>
      <c r="AJ339" s="1705"/>
      <c r="AK339" s="1705"/>
      <c r="AL339" s="50"/>
    </row>
    <row r="340" spans="1:53" ht="13.2">
      <c r="A340" s="50"/>
      <c r="B340" s="596" t="s">
        <v>418</v>
      </c>
      <c r="C340" s="596"/>
      <c r="D340" s="596"/>
      <c r="E340" s="596"/>
      <c r="F340" s="596"/>
      <c r="G340" s="597"/>
      <c r="H340" s="1705"/>
      <c r="I340" s="1705"/>
      <c r="J340" s="1705"/>
      <c r="K340" s="1705"/>
      <c r="L340" s="1705"/>
      <c r="M340" s="1705"/>
      <c r="N340" s="1705"/>
      <c r="O340" s="1705"/>
      <c r="P340" s="1705"/>
      <c r="Q340" s="1705"/>
      <c r="R340" s="1705"/>
      <c r="T340" s="72" t="s">
        <v>418</v>
      </c>
      <c r="AA340" s="1705"/>
      <c r="AB340" s="1705"/>
      <c r="AC340" s="1705"/>
      <c r="AD340" s="1705"/>
      <c r="AE340" s="1705"/>
      <c r="AF340" s="1705"/>
      <c r="AG340" s="1705"/>
      <c r="AH340" s="1705"/>
      <c r="AI340" s="1705"/>
      <c r="AJ340" s="1705"/>
      <c r="AK340" s="1705"/>
      <c r="AL340" s="50"/>
    </row>
    <row r="341" spans="1:53" ht="13.2">
      <c r="A341" s="50"/>
      <c r="B341" s="596" t="s">
        <v>419</v>
      </c>
      <c r="C341" s="596"/>
      <c r="D341" s="596"/>
      <c r="E341" s="596"/>
      <c r="F341" s="596"/>
      <c r="G341" s="596"/>
      <c r="H341" s="1958"/>
      <c r="I341" s="1958"/>
      <c r="J341" s="1958"/>
      <c r="K341" s="1958"/>
      <c r="L341" s="1958"/>
      <c r="M341" s="1958"/>
      <c r="N341" s="8" t="s">
        <v>900</v>
      </c>
      <c r="O341" s="8"/>
      <c r="P341" s="1955"/>
      <c r="Q341" s="1955"/>
      <c r="R341" s="1955"/>
      <c r="T341" s="72" t="s">
        <v>419</v>
      </c>
      <c r="AA341" s="1958"/>
      <c r="AB341" s="1958"/>
      <c r="AC341" s="1958"/>
      <c r="AD341" s="1958"/>
      <c r="AE341" s="1958"/>
      <c r="AF341" s="1958"/>
      <c r="AG341" s="8" t="s">
        <v>900</v>
      </c>
      <c r="AH341" s="8"/>
      <c r="AI341" s="1955"/>
      <c r="AJ341" s="1955"/>
      <c r="AK341" s="1955"/>
      <c r="AL341" s="50"/>
    </row>
    <row r="342" spans="1:53" ht="13.2">
      <c r="A342" s="50"/>
      <c r="B342" s="596" t="s">
        <v>420</v>
      </c>
      <c r="C342" s="596"/>
      <c r="D342" s="596"/>
      <c r="E342" s="596"/>
      <c r="F342" s="596"/>
      <c r="G342" s="596"/>
      <c r="H342" s="1699"/>
      <c r="I342" s="1699"/>
      <c r="J342" s="1699"/>
      <c r="K342" s="1699"/>
      <c r="L342" s="1699"/>
      <c r="M342" s="1699"/>
      <c r="N342" s="74"/>
      <c r="O342" s="74"/>
      <c r="P342" s="76"/>
      <c r="Q342" s="76"/>
      <c r="R342" s="76"/>
      <c r="T342" s="72" t="s">
        <v>420</v>
      </c>
      <c r="AA342" s="1699"/>
      <c r="AB342" s="1699"/>
      <c r="AC342" s="1699"/>
      <c r="AD342" s="1699"/>
      <c r="AE342" s="1699"/>
      <c r="AF342" s="1699"/>
      <c r="AG342" s="74"/>
      <c r="AH342" s="74"/>
      <c r="AI342" s="76"/>
      <c r="AJ342" s="76"/>
      <c r="AK342" s="76"/>
      <c r="AL342" s="50"/>
    </row>
    <row r="343" spans="1:53" ht="12.75" customHeight="1">
      <c r="A343" s="50"/>
      <c r="B343" s="596" t="s">
        <v>768</v>
      </c>
      <c r="C343" s="596"/>
      <c r="D343" s="596"/>
      <c r="E343" s="596"/>
      <c r="F343" s="596"/>
      <c r="G343" s="596"/>
      <c r="H343" s="1705"/>
      <c r="I343" s="1705"/>
      <c r="J343" s="1705"/>
      <c r="K343" s="1705"/>
      <c r="L343" s="1705"/>
      <c r="M343" s="1705"/>
      <c r="N343" s="1697"/>
      <c r="O343" s="1697"/>
      <c r="P343" s="1697"/>
      <c r="Q343" s="1697"/>
      <c r="R343" s="1697"/>
      <c r="T343" s="72" t="s">
        <v>768</v>
      </c>
      <c r="AA343" s="1705"/>
      <c r="AB343" s="1705"/>
      <c r="AC343" s="1705"/>
      <c r="AD343" s="1705"/>
      <c r="AE343" s="1705"/>
      <c r="AF343" s="1705"/>
      <c r="AG343" s="1697"/>
      <c r="AH343" s="1697"/>
      <c r="AI343" s="1697"/>
      <c r="AJ343" s="1697"/>
      <c r="AK343" s="169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975" t="s">
        <v>546</v>
      </c>
      <c r="B345" s="1975"/>
      <c r="C345" s="1975"/>
      <c r="D345" s="1975"/>
      <c r="E345" s="1975"/>
      <c r="F345" s="1975"/>
      <c r="G345" s="1975"/>
      <c r="H345" s="1975"/>
      <c r="I345" s="1975"/>
      <c r="J345" s="1975"/>
      <c r="K345" s="1975"/>
      <c r="L345" s="1975"/>
      <c r="M345" s="1975"/>
      <c r="N345" s="1975"/>
      <c r="O345" s="1975"/>
      <c r="P345" s="1975"/>
      <c r="Q345" s="1975"/>
      <c r="R345" s="1975"/>
      <c r="S345" s="1975"/>
      <c r="T345" s="1975"/>
      <c r="U345" s="1975"/>
      <c r="V345" s="1975"/>
      <c r="W345" s="1975"/>
      <c r="X345" s="1975"/>
      <c r="Y345" s="1975"/>
      <c r="Z345" s="1975"/>
      <c r="AA345" s="1975"/>
      <c r="AB345" s="1975"/>
      <c r="AC345" s="1975"/>
      <c r="AD345" s="1975"/>
      <c r="AE345" s="1975"/>
      <c r="AF345" s="1975"/>
      <c r="AG345" s="1975"/>
      <c r="AH345" s="1975"/>
      <c r="AI345" s="1975"/>
      <c r="AJ345" s="1975"/>
      <c r="AK345" s="1975"/>
      <c r="AL345" s="1975"/>
    </row>
    <row r="346" spans="1:53" ht="12.75" customHeight="1" thickBot="1">
      <c r="A346" s="1976"/>
      <c r="B346" s="1976"/>
      <c r="C346" s="1976"/>
      <c r="D346" s="1976"/>
      <c r="E346" s="1976"/>
      <c r="F346" s="1976"/>
      <c r="G346" s="1976"/>
      <c r="H346" s="1976"/>
      <c r="I346" s="1976"/>
      <c r="J346" s="1976"/>
      <c r="K346" s="1976"/>
      <c r="L346" s="1976"/>
      <c r="M346" s="1976"/>
      <c r="N346" s="1976"/>
      <c r="O346" s="1976"/>
      <c r="P346" s="1976"/>
      <c r="Q346" s="1976"/>
      <c r="R346" s="1976"/>
      <c r="S346" s="1976"/>
      <c r="T346" s="1976"/>
      <c r="U346" s="1976"/>
      <c r="V346" s="1976"/>
      <c r="W346" s="1976"/>
      <c r="X346" s="1976"/>
      <c r="Y346" s="1976"/>
      <c r="Z346" s="1976"/>
      <c r="AA346" s="1976"/>
      <c r="AB346" s="1976"/>
      <c r="AC346" s="1976"/>
      <c r="AD346" s="1976"/>
      <c r="AE346" s="1976"/>
      <c r="AF346" s="1976"/>
      <c r="AG346" s="1976"/>
      <c r="AH346" s="1976"/>
      <c r="AI346" s="1976"/>
      <c r="AJ346" s="1976"/>
      <c r="AK346" s="1976"/>
      <c r="AL346" s="197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96" t="s">
        <v>119</v>
      </c>
      <c r="N349" s="1696"/>
      <c r="P349" s="16" t="s">
        <v>2259</v>
      </c>
      <c r="AJ349" s="1696" t="s">
        <v>119</v>
      </c>
      <c r="AK349" s="1696"/>
    </row>
    <row r="350" spans="1:53" ht="12.75" customHeight="1">
      <c r="D350" s="72" t="s">
        <v>2161</v>
      </c>
      <c r="M350" s="1696" t="s">
        <v>136</v>
      </c>
      <c r="N350" s="1696"/>
      <c r="P350" s="72" t="s">
        <v>2260</v>
      </c>
      <c r="AJ350" s="1721">
        <v>2</v>
      </c>
      <c r="AK350" s="1721"/>
    </row>
    <row r="351" spans="1:53" ht="12.75" customHeight="1">
      <c r="D351" s="16" t="s">
        <v>349</v>
      </c>
      <c r="M351" s="1696" t="s">
        <v>136</v>
      </c>
      <c r="N351" s="1696"/>
      <c r="P351" s="16" t="s">
        <v>2261</v>
      </c>
      <c r="AJ351" s="1696" t="s">
        <v>119</v>
      </c>
      <c r="AK351" s="1696"/>
    </row>
    <row r="352" spans="1:53" ht="12.75" customHeight="1">
      <c r="D352" s="16" t="s">
        <v>350</v>
      </c>
      <c r="M352" s="1696" t="s">
        <v>136</v>
      </c>
      <c r="N352" s="1696"/>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6" t="s">
        <v>136</v>
      </c>
      <c r="O357" s="1696"/>
      <c r="P357" s="83"/>
      <c r="Q357" s="83"/>
      <c r="R357" s="83"/>
      <c r="S357" s="83"/>
      <c r="T357" s="83"/>
      <c r="U357" s="83"/>
      <c r="V357" s="83"/>
      <c r="W357" s="83"/>
      <c r="X357" s="83"/>
      <c r="Y357" s="84"/>
      <c r="Z357" s="84"/>
      <c r="AC357" s="83"/>
      <c r="AD357" s="83"/>
      <c r="AE357" s="83"/>
    </row>
    <row r="358" spans="1:57" ht="13.2">
      <c r="E358" s="16" t="s">
        <v>800</v>
      </c>
      <c r="Y358" s="1696" t="s">
        <v>136</v>
      </c>
      <c r="Z358" s="1696"/>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96" t="s">
        <v>136</v>
      </c>
      <c r="K360" s="1696"/>
      <c r="L360" s="83"/>
      <c r="M360" s="83"/>
      <c r="N360" s="83"/>
      <c r="O360" s="83"/>
      <c r="P360" s="83"/>
      <c r="Q360" s="83"/>
      <c r="R360" s="83"/>
      <c r="S360" s="83"/>
      <c r="T360" s="83"/>
      <c r="U360" s="83"/>
      <c r="V360" s="83"/>
      <c r="W360" s="83"/>
      <c r="X360" s="83"/>
      <c r="Y360" s="83"/>
      <c r="Z360" s="83"/>
      <c r="AC360" s="83"/>
      <c r="AD360" s="83"/>
      <c r="AE360" s="83"/>
    </row>
    <row r="361" spans="1:57" ht="13.2">
      <c r="E361" s="1977" t="s">
        <v>351</v>
      </c>
      <c r="F361" s="1977"/>
      <c r="G361" s="1977"/>
      <c r="H361" s="1977"/>
      <c r="I361" s="1977"/>
      <c r="J361" s="1977"/>
      <c r="K361" s="1977"/>
      <c r="L361" s="1977"/>
      <c r="M361" s="1977"/>
      <c r="N361" s="1977"/>
      <c r="O361" s="1977"/>
      <c r="P361" s="1977"/>
      <c r="Q361" s="1977"/>
      <c r="R361" s="1977"/>
      <c r="S361" s="1977"/>
      <c r="T361" s="1977"/>
      <c r="U361" s="1977"/>
      <c r="V361" s="1977"/>
      <c r="W361" s="1977"/>
      <c r="X361" s="1977"/>
      <c r="Y361" s="1977"/>
      <c r="Z361" s="1977"/>
      <c r="AA361" s="1977"/>
      <c r="AB361" s="1977"/>
      <c r="AC361" s="1977"/>
      <c r="AD361" s="1977"/>
      <c r="AE361" s="1977"/>
      <c r="AF361" s="1977"/>
      <c r="AG361" s="1977"/>
      <c r="AH361" s="1977"/>
      <c r="BE361" s="16" t="s">
        <v>136</v>
      </c>
    </row>
    <row r="362" spans="1:57" ht="13.2">
      <c r="E362" s="1977"/>
      <c r="F362" s="1977"/>
      <c r="G362" s="1977"/>
      <c r="H362" s="1977"/>
      <c r="I362" s="1977"/>
      <c r="J362" s="1977"/>
      <c r="K362" s="1977"/>
      <c r="L362" s="1977"/>
      <c r="M362" s="1977"/>
      <c r="N362" s="1977"/>
      <c r="O362" s="1977"/>
      <c r="P362" s="1977"/>
      <c r="Q362" s="1977"/>
      <c r="R362" s="1977"/>
      <c r="S362" s="1977"/>
      <c r="T362" s="1977"/>
      <c r="U362" s="1977"/>
      <c r="V362" s="1977"/>
      <c r="W362" s="1977"/>
      <c r="X362" s="1977"/>
      <c r="Y362" s="1977"/>
      <c r="Z362" s="1977"/>
      <c r="AA362" s="1977"/>
      <c r="AB362" s="1977"/>
      <c r="AC362" s="1977"/>
      <c r="AD362" s="1977"/>
      <c r="AE362" s="1977"/>
      <c r="AF362" s="1977"/>
      <c r="AG362" s="1977"/>
      <c r="AH362" s="1977"/>
      <c r="BE362" s="16" t="s">
        <v>531</v>
      </c>
    </row>
    <row r="363" spans="1:57" ht="12.75" customHeight="1">
      <c r="E363" s="8" t="s">
        <v>656</v>
      </c>
      <c r="F363" s="8"/>
      <c r="G363" s="8"/>
      <c r="H363" s="8"/>
      <c r="I363" s="8"/>
      <c r="J363" s="8"/>
      <c r="K363" s="8"/>
      <c r="L363" s="8"/>
      <c r="N363" s="1757"/>
      <c r="O363" s="1757"/>
      <c r="P363" s="1757"/>
      <c r="Q363" s="1757"/>
      <c r="R363" s="8"/>
      <c r="U363" s="8" t="s">
        <v>657</v>
      </c>
      <c r="V363" s="8"/>
      <c r="W363" s="8"/>
      <c r="X363" s="8"/>
      <c r="Y363" s="8"/>
      <c r="Z363" s="8"/>
      <c r="AA363" s="8"/>
      <c r="AB363" s="8"/>
      <c r="AC363" s="1757"/>
      <c r="AD363" s="1757"/>
      <c r="AE363" s="1757"/>
      <c r="AF363" s="1757"/>
      <c r="BE363" s="16" t="s">
        <v>119</v>
      </c>
    </row>
    <row r="364" spans="1:57" ht="13.2">
      <c r="E364" s="8" t="s">
        <v>658</v>
      </c>
      <c r="F364" s="8"/>
      <c r="G364" s="8"/>
      <c r="H364" s="8"/>
      <c r="I364" s="8"/>
      <c r="J364" s="8"/>
      <c r="K364" s="8"/>
      <c r="L364" s="8"/>
      <c r="N364" s="1757"/>
      <c r="O364" s="1757"/>
      <c r="P364" s="1757"/>
      <c r="Q364" s="1757"/>
      <c r="R364" s="8"/>
      <c r="U364" s="8" t="s">
        <v>659</v>
      </c>
      <c r="V364" s="8"/>
      <c r="W364" s="8"/>
      <c r="X364" s="8"/>
      <c r="Y364" s="8"/>
      <c r="Z364" s="8"/>
      <c r="AA364" s="8"/>
      <c r="AB364" s="8"/>
      <c r="AC364" s="1757"/>
      <c r="AD364" s="1757"/>
      <c r="AE364" s="1757"/>
      <c r="AF364" s="1757"/>
    </row>
    <row r="365" spans="1:57" ht="12.75" customHeight="1">
      <c r="E365" s="8" t="s">
        <v>69</v>
      </c>
      <c r="F365" s="8"/>
      <c r="G365" s="8"/>
      <c r="H365" s="8"/>
      <c r="I365" s="8"/>
      <c r="J365" s="8"/>
      <c r="K365" s="8"/>
      <c r="L365" s="8"/>
      <c r="N365" s="1757"/>
      <c r="O365" s="1757"/>
      <c r="P365" s="1757"/>
      <c r="Q365" s="1757"/>
      <c r="R365" s="8"/>
      <c r="V365" s="8"/>
      <c r="W365" s="8"/>
      <c r="X365" s="8"/>
      <c r="Y365" s="8"/>
      <c r="Z365" s="8"/>
      <c r="AA365" s="8"/>
      <c r="AB365" s="8"/>
    </row>
    <row r="366" spans="1:57" ht="13.2">
      <c r="E366" s="8" t="s">
        <v>70</v>
      </c>
      <c r="F366" s="8"/>
      <c r="G366" s="8"/>
      <c r="H366" s="8"/>
      <c r="I366" s="8"/>
      <c r="J366" s="8"/>
      <c r="K366" s="8"/>
      <c r="L366" s="8"/>
      <c r="N366" s="2034"/>
      <c r="O366" s="2034"/>
      <c r="P366" s="2034"/>
      <c r="Q366" s="2034"/>
      <c r="R366" s="2034"/>
      <c r="S366" s="2034"/>
      <c r="T366" s="2034"/>
      <c r="U366" s="2034"/>
      <c r="V366" s="2034"/>
      <c r="W366" s="2034"/>
      <c r="X366" s="2034"/>
      <c r="Y366" s="2034"/>
      <c r="Z366" s="2034"/>
      <c r="AA366" s="2034"/>
      <c r="AB366" s="2034"/>
      <c r="AC366" s="2034"/>
      <c r="AD366" s="2034"/>
      <c r="AE366" s="2034"/>
      <c r="AF366" s="2034"/>
    </row>
    <row r="367" spans="1:57" ht="13.2">
      <c r="E367" s="8"/>
      <c r="F367" s="8"/>
      <c r="G367" s="8"/>
      <c r="H367" s="8"/>
      <c r="I367" s="8"/>
      <c r="J367" s="8"/>
      <c r="K367" s="8"/>
      <c r="L367" s="8"/>
      <c r="N367" s="2035"/>
      <c r="O367" s="2035"/>
      <c r="P367" s="2035"/>
      <c r="Q367" s="2035"/>
      <c r="R367" s="2035"/>
      <c r="S367" s="2035"/>
      <c r="T367" s="2035"/>
      <c r="U367" s="2035"/>
      <c r="V367" s="2035"/>
      <c r="W367" s="2035"/>
      <c r="X367" s="2035"/>
      <c r="Y367" s="2035"/>
      <c r="Z367" s="2035"/>
      <c r="AA367" s="2035"/>
      <c r="AB367" s="2035"/>
      <c r="AC367" s="2035"/>
      <c r="AD367" s="2035"/>
      <c r="AE367" s="2035"/>
      <c r="AF367" s="2035"/>
    </row>
    <row r="368" spans="1:57" ht="13.2">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72"/>
      <c r="T370" s="1772"/>
      <c r="U370" s="781" t="s">
        <v>259</v>
      </c>
      <c r="V370" s="1772"/>
      <c r="W370" s="1772"/>
      <c r="X370" s="597"/>
      <c r="Y370" s="782" t="s">
        <v>257</v>
      </c>
      <c r="Z370" s="597"/>
      <c r="AA370" s="782"/>
      <c r="AB370" s="782" t="s">
        <v>258</v>
      </c>
      <c r="AC370" s="597"/>
      <c r="AD370" s="1772"/>
      <c r="AE370" s="1772"/>
      <c r="AF370" s="781" t="s">
        <v>259</v>
      </c>
      <c r="AG370" s="1772"/>
      <c r="AH370" s="1772"/>
    </row>
    <row r="371" spans="1:36" ht="12.75" customHeight="1">
      <c r="D371" s="597"/>
      <c r="E371" s="596" t="s">
        <v>1369</v>
      </c>
      <c r="F371" s="596"/>
      <c r="G371" s="596"/>
      <c r="H371" s="596"/>
      <c r="I371" s="596"/>
      <c r="J371" s="596"/>
      <c r="K371" s="596"/>
      <c r="L371" s="596"/>
      <c r="M371" s="597"/>
      <c r="N371" s="1772"/>
      <c r="O371" s="1772"/>
      <c r="P371" s="177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15" t="s">
        <v>136</v>
      </c>
      <c r="AH372" s="1815"/>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15" t="s">
        <v>136</v>
      </c>
      <c r="AH373" s="1815"/>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815" t="s">
        <v>136</v>
      </c>
      <c r="W374" s="1815"/>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815" t="s">
        <v>136</v>
      </c>
      <c r="W375" s="1815"/>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7" t="s">
        <v>2446</v>
      </c>
      <c r="K378" s="1697"/>
      <c r="L378" s="1697"/>
      <c r="M378" s="1697"/>
      <c r="N378" s="1697"/>
      <c r="O378" s="1697"/>
      <c r="P378" s="1697"/>
      <c r="Q378" s="1697"/>
      <c r="R378" s="1697"/>
      <c r="S378" s="1697"/>
      <c r="T378" s="1697"/>
      <c r="U378" s="1697"/>
      <c r="V378" s="18" t="s">
        <v>777</v>
      </c>
      <c r="W378" s="18"/>
      <c r="X378" s="18"/>
      <c r="Y378" s="18"/>
      <c r="Z378" s="18"/>
      <c r="AA378" s="18"/>
      <c r="AB378" s="18"/>
      <c r="AC378" s="1697" t="s">
        <v>2486</v>
      </c>
      <c r="AD378" s="1697"/>
      <c r="AE378" s="1697"/>
      <c r="AF378" s="1697"/>
      <c r="AG378" s="1697"/>
      <c r="AH378" s="1697"/>
      <c r="AI378" s="1697"/>
      <c r="AJ378" s="1697"/>
    </row>
    <row r="379" spans="1:36" ht="12.75" customHeight="1">
      <c r="D379" s="72" t="s">
        <v>2262</v>
      </c>
      <c r="J379" s="1705" t="s">
        <v>2447</v>
      </c>
      <c r="K379" s="1705"/>
      <c r="L379" s="1705"/>
      <c r="M379" s="1705"/>
      <c r="N379" s="1705"/>
      <c r="O379" s="1705"/>
      <c r="P379" s="1705"/>
      <c r="Q379" s="1705"/>
      <c r="R379" s="1705"/>
      <c r="S379" s="1705"/>
      <c r="T379" s="1705"/>
      <c r="U379" s="1705"/>
      <c r="V379" s="72" t="s">
        <v>2262</v>
      </c>
      <c r="W379" s="18"/>
      <c r="X379" s="18"/>
      <c r="Y379" s="18"/>
      <c r="Z379" s="18"/>
      <c r="AA379" s="18"/>
      <c r="AB379" s="18"/>
      <c r="AC379" s="1697" t="s">
        <v>2486</v>
      </c>
      <c r="AD379" s="1697"/>
      <c r="AE379" s="1697"/>
      <c r="AF379" s="1697"/>
      <c r="AG379" s="1697"/>
      <c r="AH379" s="1697"/>
      <c r="AI379" s="1697"/>
      <c r="AJ379" s="1697"/>
    </row>
    <row r="380" spans="1:36" ht="12.75" customHeight="1">
      <c r="D380" s="72" t="s">
        <v>603</v>
      </c>
      <c r="J380" s="1705" t="s">
        <v>2349</v>
      </c>
      <c r="K380" s="1705"/>
      <c r="L380" s="1705"/>
      <c r="M380" s="1705"/>
      <c r="N380" s="1705"/>
      <c r="O380" s="1705"/>
      <c r="P380" s="1705"/>
      <c r="Q380" s="1705"/>
      <c r="R380" s="1705"/>
      <c r="S380" s="1705"/>
      <c r="T380" s="1705"/>
      <c r="U380" s="1705"/>
      <c r="V380" s="72" t="s">
        <v>603</v>
      </c>
      <c r="W380" s="18"/>
      <c r="X380" s="18"/>
      <c r="Y380" s="18"/>
      <c r="Z380" s="18"/>
      <c r="AA380" s="18"/>
      <c r="AB380" s="18"/>
      <c r="AC380" s="1697" t="s">
        <v>2487</v>
      </c>
      <c r="AD380" s="1697"/>
      <c r="AE380" s="1697"/>
      <c r="AF380" s="1697"/>
      <c r="AG380" s="1697"/>
      <c r="AH380" s="1697"/>
      <c r="AI380" s="1697"/>
      <c r="AJ380" s="1697"/>
    </row>
    <row r="381" spans="1:36" ht="12.75" customHeight="1">
      <c r="D381" s="750" t="s">
        <v>2263</v>
      </c>
      <c r="I381" s="102"/>
      <c r="J381" s="1664" t="s">
        <v>2449</v>
      </c>
      <c r="K381" s="1664"/>
      <c r="L381" s="1664"/>
      <c r="M381" s="1664"/>
      <c r="N381" s="1664"/>
      <c r="O381" s="1664"/>
      <c r="P381" s="1664"/>
      <c r="Q381" s="1664"/>
      <c r="R381" s="1664"/>
      <c r="S381" s="1664"/>
      <c r="T381" s="1664"/>
      <c r="U381" s="1664"/>
      <c r="V381" s="1697" t="s">
        <v>2448</v>
      </c>
      <c r="W381" s="1697"/>
      <c r="X381" s="1697"/>
      <c r="Y381" s="1697"/>
      <c r="Z381" s="1697"/>
      <c r="AA381" s="1697"/>
      <c r="AB381" s="1697"/>
      <c r="AC381" s="1697"/>
      <c r="AD381" s="1697"/>
      <c r="AE381" s="1697"/>
      <c r="AF381" s="1697"/>
      <c r="AG381" s="1697"/>
      <c r="AH381" s="1697"/>
      <c r="AI381" s="1697"/>
      <c r="AJ381" s="1697"/>
    </row>
    <row r="382" spans="1:36" ht="12.75" customHeight="1">
      <c r="D382" s="16" t="s">
        <v>614</v>
      </c>
      <c r="Q382" s="1788">
        <v>44154</v>
      </c>
      <c r="R382" s="1788"/>
      <c r="S382" s="1788"/>
      <c r="T382" s="1788"/>
      <c r="U382" s="1788"/>
      <c r="V382" s="16" t="s">
        <v>185</v>
      </c>
      <c r="AI382" s="1696" t="s">
        <v>531</v>
      </c>
      <c r="AJ382" s="1696"/>
    </row>
    <row r="383" spans="1:36" ht="12.75" customHeight="1">
      <c r="D383" s="16" t="s">
        <v>615</v>
      </c>
      <c r="Q383" s="1812">
        <v>44393</v>
      </c>
      <c r="R383" s="1813"/>
      <c r="S383" s="1813"/>
      <c r="T383" s="1813"/>
      <c r="U383" s="1813"/>
      <c r="W383" s="43" t="s">
        <v>20</v>
      </c>
      <c r="AG383" s="1791"/>
      <c r="AH383" s="1791"/>
      <c r="AI383" s="1791"/>
      <c r="AJ383" s="1791"/>
    </row>
    <row r="384" spans="1:36" ht="12.75" customHeight="1">
      <c r="D384" s="16" t="s">
        <v>302</v>
      </c>
      <c r="Q384" s="2021">
        <f>685000+3280000</f>
        <v>3965000</v>
      </c>
      <c r="R384" s="2021"/>
      <c r="S384" s="2021"/>
      <c r="T384" s="2021"/>
      <c r="U384" s="2021"/>
      <c r="V384" s="72" t="s">
        <v>2264</v>
      </c>
      <c r="AG384" s="2067">
        <v>44393</v>
      </c>
      <c r="AH384" s="2067"/>
      <c r="AI384" s="2067"/>
      <c r="AJ384" s="2067"/>
    </row>
    <row r="385" spans="4:36" ht="12.75" customHeight="1">
      <c r="D385" s="16" t="s">
        <v>419</v>
      </c>
      <c r="I385" s="1789" t="s">
        <v>2397</v>
      </c>
      <c r="J385" s="1789"/>
      <c r="K385" s="1789"/>
      <c r="L385" s="1789"/>
      <c r="M385" s="1789"/>
      <c r="N385" s="1789"/>
      <c r="Q385" s="326" t="s">
        <v>900</v>
      </c>
      <c r="S385" s="1790"/>
      <c r="T385" s="1790"/>
      <c r="U385" s="1790"/>
      <c r="V385" s="16" t="s">
        <v>19</v>
      </c>
      <c r="AI385" s="1696" t="s">
        <v>531</v>
      </c>
      <c r="AJ385" s="1696"/>
    </row>
    <row r="386" spans="4:36" s="50" customFormat="1" ht="12.75" customHeight="1">
      <c r="D386" s="16" t="s">
        <v>186</v>
      </c>
      <c r="E386" s="16"/>
      <c r="F386" s="16"/>
      <c r="G386" s="16"/>
      <c r="H386" s="16"/>
      <c r="I386" s="16"/>
      <c r="J386" s="16"/>
      <c r="K386" s="16"/>
      <c r="L386" s="16"/>
      <c r="M386" s="16"/>
      <c r="N386" s="16"/>
      <c r="O386" s="16"/>
      <c r="P386" s="16"/>
      <c r="Q386" s="1661"/>
      <c r="R386" s="1661"/>
      <c r="S386" s="1661"/>
      <c r="T386" s="1661"/>
      <c r="U386" s="1661"/>
      <c r="V386" s="16" t="s">
        <v>187</v>
      </c>
      <c r="W386" s="16"/>
      <c r="X386" s="16"/>
      <c r="Y386" s="16"/>
      <c r="Z386" s="16"/>
      <c r="AA386" s="16"/>
      <c r="AB386" s="16"/>
      <c r="AC386" s="16"/>
      <c r="AD386" s="16"/>
      <c r="AE386" s="16"/>
      <c r="AF386" s="16"/>
      <c r="AG386" s="1791"/>
      <c r="AH386" s="1791"/>
      <c r="AI386" s="1791"/>
      <c r="AJ386" s="1791"/>
    </row>
    <row r="387" spans="4:36" s="50" customFormat="1" ht="12.75" customHeight="1">
      <c r="D387" s="16" t="s">
        <v>29</v>
      </c>
      <c r="E387" s="16"/>
      <c r="F387" s="16"/>
      <c r="G387" s="16"/>
      <c r="H387" s="16"/>
      <c r="I387" s="16"/>
      <c r="J387" s="16"/>
      <c r="K387" s="16"/>
      <c r="L387" s="16"/>
      <c r="M387" s="16"/>
      <c r="N387" s="16"/>
      <c r="O387" s="16"/>
      <c r="P387" s="16"/>
      <c r="Q387" s="1792">
        <v>1.3386E-2</v>
      </c>
      <c r="R387" s="1792"/>
      <c r="S387" s="1792"/>
      <c r="T387" s="1792"/>
      <c r="U387" s="1792"/>
      <c r="V387" s="16" t="s">
        <v>1899</v>
      </c>
      <c r="W387" s="16"/>
      <c r="X387" s="16"/>
      <c r="Y387" s="16"/>
      <c r="Z387" s="16"/>
      <c r="AA387" s="16"/>
      <c r="AB387" s="16"/>
      <c r="AC387" s="16"/>
      <c r="AD387" s="16"/>
      <c r="AE387" s="16"/>
      <c r="AF387" s="16"/>
      <c r="AG387" s="1791"/>
      <c r="AH387" s="1791"/>
      <c r="AI387" s="1791"/>
      <c r="AJ387" s="1791"/>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91"/>
      <c r="AH388" s="1791"/>
      <c r="AI388" s="1791"/>
      <c r="AJ388" s="179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7"/>
      <c r="AH389" s="1427"/>
      <c r="AI389" s="1427"/>
      <c r="AJ389" s="1427"/>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7"/>
      <c r="AH390" s="1427"/>
      <c r="AI390" s="1696" t="s">
        <v>531</v>
      </c>
      <c r="AJ390" s="1696"/>
    </row>
    <row r="391" spans="4:36" s="50" customFormat="1" ht="12.75" customHeight="1">
      <c r="D391" s="72" t="s">
        <v>2267</v>
      </c>
      <c r="E391" s="16"/>
      <c r="F391" s="16"/>
      <c r="G391" s="16"/>
      <c r="H391" s="16"/>
      <c r="I391" s="16"/>
      <c r="J391" s="16"/>
      <c r="K391" s="16"/>
      <c r="L391" s="16"/>
      <c r="M391" s="16"/>
      <c r="N391" s="16"/>
      <c r="O391" s="16"/>
      <c r="P391" s="16"/>
      <c r="Q391" s="16"/>
      <c r="R391" s="16"/>
      <c r="S391" s="16"/>
      <c r="T391" s="1773"/>
      <c r="U391" s="1773"/>
      <c r="V391" s="1773"/>
      <c r="W391" s="1773"/>
      <c r="X391" s="1773"/>
      <c r="Y391" s="1773"/>
      <c r="Z391" s="1773"/>
      <c r="AA391" s="1773"/>
      <c r="AB391" s="1773"/>
      <c r="AC391" s="1773"/>
      <c r="AD391" s="1773"/>
      <c r="AE391" s="1773"/>
      <c r="AF391" s="1773"/>
      <c r="AG391" s="1773"/>
      <c r="AH391" s="1773"/>
      <c r="AI391" s="1773"/>
      <c r="AJ391" s="1773"/>
    </row>
    <row r="392" spans="4:36" s="50" customFormat="1" ht="12.75" customHeight="1">
      <c r="D392" s="72" t="s">
        <v>2268</v>
      </c>
      <c r="E392" s="16"/>
      <c r="F392" s="16"/>
      <c r="G392" s="16"/>
      <c r="H392" s="16"/>
      <c r="I392" s="16"/>
      <c r="J392" s="16"/>
      <c r="K392" s="16"/>
      <c r="L392" s="16"/>
      <c r="M392" s="16"/>
      <c r="N392" s="16"/>
      <c r="O392" s="16"/>
      <c r="P392" s="16"/>
      <c r="Q392" s="16"/>
      <c r="R392" s="16"/>
      <c r="S392" s="16"/>
      <c r="T392" s="1773"/>
      <c r="U392" s="1773"/>
      <c r="V392" s="1773"/>
      <c r="W392" s="1773"/>
      <c r="X392" s="1773"/>
      <c r="Y392" s="1773"/>
      <c r="Z392" s="1773"/>
      <c r="AA392" s="1773"/>
      <c r="AB392" s="1773"/>
      <c r="AC392" s="1773"/>
      <c r="AD392" s="1773"/>
      <c r="AE392" s="1773"/>
      <c r="AF392" s="1773"/>
      <c r="AG392" s="1773"/>
      <c r="AH392" s="1773"/>
      <c r="AI392" s="1773"/>
      <c r="AJ392" s="177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7"/>
      <c r="AH393" s="1427"/>
      <c r="AI393" s="1427"/>
      <c r="AJ393" s="1427"/>
    </row>
    <row r="394" spans="4:36" s="50" customFormat="1" ht="12.75" customHeight="1">
      <c r="D394" s="72" t="s">
        <v>2269</v>
      </c>
      <c r="E394" s="16"/>
      <c r="F394" s="16"/>
      <c r="G394" s="16"/>
      <c r="H394" s="16"/>
      <c r="I394" s="16"/>
      <c r="J394" s="16"/>
      <c r="K394" s="16"/>
      <c r="L394" s="16"/>
      <c r="M394" s="16"/>
      <c r="N394" s="16"/>
      <c r="O394" s="16"/>
      <c r="P394" s="16"/>
      <c r="Q394" s="16"/>
      <c r="R394" s="16"/>
      <c r="S394" s="1773" t="s">
        <v>531</v>
      </c>
      <c r="T394" s="1773"/>
      <c r="U394" s="1773"/>
      <c r="V394" s="750" t="s">
        <v>2270</v>
      </c>
      <c r="W394" s="16"/>
      <c r="X394" s="16"/>
      <c r="Y394" s="16"/>
      <c r="Z394" s="16"/>
      <c r="AA394" s="16"/>
      <c r="AG394" s="1796"/>
      <c r="AH394" s="1796"/>
      <c r="AI394" s="1796"/>
      <c r="AJ394" s="1796"/>
    </row>
    <row r="395" spans="4:36" s="50" customFormat="1" ht="12.75" customHeight="1">
      <c r="D395" s="72" t="s">
        <v>2271</v>
      </c>
      <c r="E395" s="16"/>
      <c r="F395" s="16"/>
      <c r="G395" s="16"/>
      <c r="H395" s="16"/>
      <c r="I395" s="16"/>
      <c r="J395" s="16"/>
      <c r="K395" s="16"/>
      <c r="L395" s="16"/>
      <c r="M395" s="16"/>
      <c r="N395" s="16"/>
      <c r="O395" s="16"/>
      <c r="P395" s="16"/>
      <c r="Q395" s="16"/>
      <c r="R395" s="16"/>
      <c r="S395" s="1773" t="s">
        <v>136</v>
      </c>
      <c r="T395" s="1773"/>
      <c r="U395" s="1773"/>
      <c r="V395" s="750" t="s">
        <v>2272</v>
      </c>
      <c r="W395" s="16"/>
      <c r="X395" s="16"/>
      <c r="Y395" s="16"/>
      <c r="Z395" s="16"/>
      <c r="AA395" s="16"/>
      <c r="AE395" s="1797"/>
      <c r="AF395" s="1797"/>
      <c r="AG395" s="1797"/>
      <c r="AH395" s="1797"/>
      <c r="AI395" s="1797"/>
      <c r="AJ395" s="1797"/>
    </row>
    <row r="396" spans="4:36" s="50" customFormat="1" ht="12.75" customHeight="1">
      <c r="D396" s="72" t="s">
        <v>2273</v>
      </c>
      <c r="E396" s="16"/>
      <c r="F396" s="16"/>
      <c r="G396" s="16"/>
      <c r="H396" s="16"/>
      <c r="I396" s="16"/>
      <c r="J396" s="16"/>
      <c r="K396" s="1849"/>
      <c r="L396" s="1849"/>
      <c r="M396" s="1849"/>
      <c r="N396" s="1849"/>
      <c r="O396" s="1849"/>
      <c r="P396" s="1849"/>
      <c r="Q396" s="1849"/>
      <c r="R396" s="1849"/>
      <c r="S396" s="1849"/>
      <c r="T396" s="1849"/>
      <c r="U396" s="1849"/>
      <c r="V396" s="1849"/>
      <c r="W396" s="1849"/>
      <c r="X396" s="1849"/>
      <c r="Y396" s="1849"/>
      <c r="Z396" s="1849"/>
      <c r="AA396" s="1849"/>
      <c r="AB396" s="1849"/>
      <c r="AC396" s="1849"/>
      <c r="AD396" s="1849"/>
      <c r="AE396" s="1849"/>
      <c r="AF396" s="1849"/>
      <c r="AG396" s="1849"/>
      <c r="AH396" s="1849"/>
      <c r="AI396" s="1849"/>
      <c r="AJ396" s="1849"/>
    </row>
    <row r="397" spans="4:36" s="50" customFormat="1" ht="12.75" customHeight="1">
      <c r="D397" s="72" t="s">
        <v>2274</v>
      </c>
      <c r="E397" s="16"/>
      <c r="F397" s="16"/>
      <c r="G397" s="16"/>
      <c r="H397" s="16"/>
      <c r="I397" s="16"/>
      <c r="J397" s="16"/>
      <c r="K397" s="1849"/>
      <c r="L397" s="1849"/>
      <c r="M397" s="1849"/>
      <c r="N397" s="1849"/>
      <c r="O397" s="1849"/>
      <c r="P397" s="1849"/>
      <c r="Q397" s="1849"/>
      <c r="R397" s="1849"/>
      <c r="S397" s="1849"/>
      <c r="T397" s="1849"/>
      <c r="U397" s="1849"/>
      <c r="V397" s="1849"/>
      <c r="W397" s="1849"/>
      <c r="X397" s="1849"/>
      <c r="Y397" s="1849"/>
      <c r="Z397" s="1849"/>
      <c r="AA397" s="1849"/>
      <c r="AB397" s="1849"/>
      <c r="AC397" s="1849"/>
      <c r="AD397" s="1849"/>
      <c r="AE397" s="1849"/>
      <c r="AF397" s="1849"/>
      <c r="AG397" s="1849"/>
      <c r="AH397" s="1849"/>
      <c r="AI397" s="1849"/>
      <c r="AJ397" s="1849"/>
    </row>
    <row r="398" spans="4:36" s="50" customFormat="1" ht="12.75" customHeight="1">
      <c r="D398" s="327" t="s">
        <v>2275</v>
      </c>
      <c r="E398" s="1389"/>
      <c r="F398" s="1389"/>
      <c r="G398" s="1389"/>
      <c r="H398" s="1389"/>
      <c r="I398" s="1389"/>
      <c r="J398" s="1389"/>
      <c r="K398" s="1389"/>
      <c r="L398" s="1389"/>
      <c r="M398" s="1389"/>
      <c r="N398" s="1389"/>
      <c r="O398" s="1389"/>
      <c r="P398" s="1389"/>
      <c r="Q398" s="1389"/>
      <c r="R398" s="1389"/>
      <c r="S398" s="1850" t="s">
        <v>2276</v>
      </c>
      <c r="T398" s="1850"/>
      <c r="U398" s="1850"/>
      <c r="V398" s="1850"/>
      <c r="W398" s="1850"/>
      <c r="X398" s="1850"/>
      <c r="Y398" s="1850"/>
      <c r="Z398" s="1850"/>
      <c r="AA398" s="1850"/>
      <c r="AB398" s="1850"/>
      <c r="AC398" s="1850"/>
      <c r="AD398" s="1850"/>
      <c r="AE398" s="1850"/>
      <c r="AF398" s="1850"/>
      <c r="AG398" s="1850"/>
      <c r="AH398" s="1850"/>
      <c r="AI398" s="1850"/>
      <c r="AJ398" s="1850"/>
    </row>
    <row r="399" spans="4:36" s="50" customFormat="1" ht="12.75" customHeight="1">
      <c r="D399" s="1855" t="s">
        <v>2277</v>
      </c>
      <c r="E399" s="1855"/>
      <c r="F399" s="1855"/>
      <c r="G399" s="1855"/>
      <c r="H399" s="1855"/>
      <c r="I399" s="1855"/>
      <c r="J399" s="1855"/>
      <c r="K399" s="1855"/>
      <c r="L399" s="1855"/>
      <c r="M399" s="1855"/>
      <c r="N399" s="1855"/>
      <c r="O399" s="1855"/>
      <c r="P399" s="1855"/>
      <c r="Q399" s="1855"/>
      <c r="R399" s="1855"/>
      <c r="S399" s="1855"/>
      <c r="T399" s="1855"/>
      <c r="U399" s="1855"/>
      <c r="V399" s="1855"/>
      <c r="W399" s="1855"/>
      <c r="X399" s="1855"/>
      <c r="Y399" s="1855"/>
      <c r="Z399" s="1855"/>
      <c r="AA399" s="1855"/>
      <c r="AB399" s="1855"/>
      <c r="AC399" s="1855"/>
      <c r="AD399" s="1855"/>
      <c r="AE399" s="1855"/>
      <c r="AF399" s="1855"/>
      <c r="AG399" s="1855"/>
      <c r="AH399" s="1855"/>
      <c r="AI399" s="1855"/>
      <c r="AJ399" s="1855"/>
    </row>
    <row r="400" spans="4:36" s="50" customFormat="1" ht="12.75" customHeight="1">
      <c r="D400" s="1855"/>
      <c r="E400" s="1855"/>
      <c r="F400" s="1855"/>
      <c r="G400" s="1855"/>
      <c r="H400" s="1855"/>
      <c r="I400" s="1855"/>
      <c r="J400" s="1855"/>
      <c r="K400" s="1855"/>
      <c r="L400" s="1855"/>
      <c r="M400" s="1855"/>
      <c r="N400" s="1855"/>
      <c r="O400" s="1855"/>
      <c r="P400" s="1855"/>
      <c r="Q400" s="1855"/>
      <c r="R400" s="1855"/>
      <c r="S400" s="1855"/>
      <c r="T400" s="1855"/>
      <c r="U400" s="1855"/>
      <c r="V400" s="1855"/>
      <c r="W400" s="1855"/>
      <c r="X400" s="1855"/>
      <c r="Y400" s="1855"/>
      <c r="Z400" s="1855"/>
      <c r="AA400" s="1855"/>
      <c r="AB400" s="1855"/>
      <c r="AC400" s="1855"/>
      <c r="AD400" s="1855"/>
      <c r="AE400" s="1855"/>
      <c r="AF400" s="1855"/>
      <c r="AG400" s="1855"/>
      <c r="AH400" s="1855"/>
      <c r="AI400" s="1855"/>
      <c r="AJ400" s="185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7"/>
      <c r="AH401" s="1427"/>
      <c r="AI401" s="1427"/>
      <c r="AJ401" s="1427"/>
    </row>
    <row r="402" spans="1:36" ht="12.75" customHeight="1">
      <c r="A402" s="63" t="s">
        <v>134</v>
      </c>
      <c r="B402" s="63"/>
      <c r="C402" s="63" t="s">
        <v>1003</v>
      </c>
    </row>
    <row r="403" spans="1:36" ht="12.75" customHeight="1">
      <c r="C403" s="35"/>
      <c r="D403" s="63" t="s">
        <v>1962</v>
      </c>
      <c r="I403" s="1957" t="s">
        <v>2388</v>
      </c>
      <c r="J403" s="1957"/>
      <c r="K403" s="1957"/>
      <c r="L403" s="1957"/>
      <c r="M403" s="1957"/>
      <c r="N403" s="1957"/>
      <c r="O403" s="1957"/>
      <c r="P403" s="1957"/>
      <c r="Q403" s="1957"/>
      <c r="R403" s="1957"/>
      <c r="S403" s="1957"/>
      <c r="T403" s="1957"/>
      <c r="U403" s="1957"/>
      <c r="V403" s="1957"/>
      <c r="W403" s="1957"/>
      <c r="X403" s="1957"/>
      <c r="Y403" s="1957"/>
      <c r="Z403" s="1957"/>
      <c r="AA403" s="1957"/>
      <c r="AB403" s="1957"/>
      <c r="AC403" s="1957"/>
      <c r="AD403" s="1957"/>
    </row>
    <row r="404" spans="1:36" ht="12.75" customHeight="1">
      <c r="C404" s="35"/>
      <c r="E404" s="16" t="s">
        <v>938</v>
      </c>
      <c r="R404" s="1696" t="s">
        <v>119</v>
      </c>
      <c r="S404" s="1696"/>
      <c r="T404" s="16" t="s">
        <v>319</v>
      </c>
      <c r="AD404" s="1757">
        <v>4</v>
      </c>
      <c r="AE404" s="1757"/>
    </row>
    <row r="405" spans="1:36" ht="12.75" customHeight="1">
      <c r="C405" s="35"/>
      <c r="E405" s="16" t="s">
        <v>939</v>
      </c>
      <c r="R405" s="1696" t="s">
        <v>136</v>
      </c>
      <c r="S405" s="1696"/>
      <c r="T405" s="16" t="s">
        <v>319</v>
      </c>
      <c r="AD405" s="1757">
        <v>0</v>
      </c>
      <c r="AE405" s="1757"/>
    </row>
    <row r="406" spans="1:36" ht="12.75" customHeight="1">
      <c r="E406" s="16" t="s">
        <v>940</v>
      </c>
      <c r="S406" s="1696" t="s">
        <v>119</v>
      </c>
      <c r="T406" s="1696"/>
    </row>
    <row r="407" spans="1:36" ht="12.75" customHeight="1">
      <c r="E407" s="16" t="s">
        <v>311</v>
      </c>
      <c r="H407" s="1867" t="s">
        <v>2389</v>
      </c>
      <c r="I407" s="1867"/>
      <c r="J407" s="1867"/>
      <c r="K407" s="1867"/>
      <c r="L407" s="1867"/>
      <c r="M407" s="1867"/>
      <c r="N407" s="1867"/>
      <c r="O407" s="1867"/>
      <c r="P407" s="1867"/>
      <c r="Q407" s="1867"/>
      <c r="R407" s="1867"/>
      <c r="S407" s="1867"/>
      <c r="T407" s="1867"/>
      <c r="U407" s="1867"/>
      <c r="V407" s="1867"/>
      <c r="W407" s="1867"/>
      <c r="X407" s="1867"/>
      <c r="Y407" s="1867"/>
      <c r="Z407" s="1867"/>
      <c r="AA407" s="1867"/>
      <c r="AB407" s="1867"/>
      <c r="AC407" s="1867"/>
      <c r="AD407" s="1867"/>
      <c r="AE407" s="1867"/>
      <c r="AF407" s="1867"/>
      <c r="AG407" s="1867"/>
      <c r="AH407" s="1867"/>
      <c r="AI407" s="1867"/>
      <c r="AJ407" s="1867"/>
    </row>
    <row r="408" spans="1:36" ht="12.75" customHeight="1">
      <c r="H408" s="1868"/>
      <c r="I408" s="1868"/>
      <c r="J408" s="1868"/>
      <c r="K408" s="1868"/>
      <c r="L408" s="1868"/>
      <c r="M408" s="1868"/>
      <c r="N408" s="1868"/>
      <c r="O408" s="1868"/>
      <c r="P408" s="1868"/>
      <c r="Q408" s="1868"/>
      <c r="R408" s="1868"/>
      <c r="S408" s="1868"/>
      <c r="T408" s="1868"/>
      <c r="U408" s="1868"/>
      <c r="V408" s="1868"/>
      <c r="W408" s="1868"/>
      <c r="X408" s="1868"/>
      <c r="Y408" s="1868"/>
      <c r="Z408" s="1868"/>
      <c r="AA408" s="1868"/>
      <c r="AB408" s="1868"/>
      <c r="AC408" s="1868"/>
      <c r="AD408" s="1868"/>
      <c r="AE408" s="1868"/>
      <c r="AF408" s="1868"/>
      <c r="AG408" s="1868"/>
      <c r="AH408" s="1868"/>
      <c r="AI408" s="1868"/>
      <c r="AJ408" s="1868"/>
    </row>
    <row r="409" spans="1:36" ht="12.75" customHeight="1"/>
    <row r="410" spans="1:36" ht="12.75" customHeight="1">
      <c r="A410" s="63" t="s">
        <v>135</v>
      </c>
      <c r="B410" s="63"/>
      <c r="C410" s="63"/>
      <c r="D410" s="63" t="s">
        <v>1006</v>
      </c>
      <c r="AE410" s="8"/>
      <c r="AF410" s="63" t="s">
        <v>1346</v>
      </c>
    </row>
    <row r="411" spans="1:36" ht="12.75" customHeight="1">
      <c r="E411" s="1781"/>
      <c r="F411" s="1781"/>
      <c r="G411" s="1781"/>
      <c r="H411" s="33" t="s">
        <v>1007</v>
      </c>
      <c r="I411" s="1781"/>
      <c r="J411" s="1781"/>
      <c r="K411" s="1781"/>
      <c r="L411" s="16" t="s">
        <v>1008</v>
      </c>
      <c r="N411" s="240" t="s">
        <v>933</v>
      </c>
      <c r="P411" s="1970">
        <v>0.82</v>
      </c>
      <c r="Q411" s="1970"/>
      <c r="R411" s="1970"/>
      <c r="S411" s="16" t="s">
        <v>1009</v>
      </c>
      <c r="W411" s="2033">
        <f>IF(E411&gt;0,(E411*I411),(P411*43560))</f>
        <v>35719.199999999997</v>
      </c>
      <c r="X411" s="2033"/>
      <c r="Y411" s="2033"/>
      <c r="Z411" s="16" t="s">
        <v>1010</v>
      </c>
      <c r="AF411" s="1782">
        <f>IF(P411&gt;0,(AG430/P411),(AG430/(W411/43560)))</f>
        <v>76.829268292682926</v>
      </c>
      <c r="AG411" s="1782"/>
      <c r="AH411" s="1782"/>
    </row>
    <row r="412" spans="1:36" ht="12.75" customHeight="1">
      <c r="E412" s="16" t="s">
        <v>224</v>
      </c>
    </row>
    <row r="413" spans="1:36" ht="12.75" customHeight="1">
      <c r="E413" s="1949"/>
      <c r="F413" s="1949"/>
      <c r="G413" s="1949"/>
      <c r="H413" s="1949"/>
      <c r="I413" s="1949"/>
      <c r="J413" s="1949"/>
      <c r="K413" s="1949"/>
      <c r="L413" s="1949"/>
      <c r="M413" s="1949"/>
      <c r="N413" s="1949"/>
      <c r="O413" s="1949"/>
      <c r="P413" s="1949"/>
      <c r="Q413" s="1949"/>
      <c r="R413" s="1949"/>
      <c r="S413" s="1949"/>
      <c r="T413" s="1949"/>
      <c r="U413" s="1949"/>
      <c r="V413" s="1949"/>
      <c r="W413" s="1949"/>
      <c r="X413" s="1949"/>
      <c r="Y413" s="1949"/>
      <c r="Z413" s="1949"/>
      <c r="AA413" s="1949"/>
      <c r="AB413" s="1949"/>
      <c r="AC413" s="1949"/>
      <c r="AD413" s="1949"/>
      <c r="AE413" s="1949"/>
      <c r="AF413" s="1949"/>
      <c r="AG413" s="1949"/>
      <c r="AH413" s="1949"/>
      <c r="AI413" s="1949"/>
      <c r="AJ413" s="1949"/>
    </row>
    <row r="414" spans="1:36" s="50" customFormat="1" ht="12.75" customHeight="1">
      <c r="E414" s="412" t="s">
        <v>2278</v>
      </c>
      <c r="F414" s="59"/>
      <c r="G414" s="59"/>
      <c r="H414" s="59"/>
      <c r="I414" s="1856">
        <v>0.79</v>
      </c>
      <c r="J414" s="1856"/>
      <c r="K414" s="1856"/>
      <c r="L414" s="59"/>
      <c r="M414" s="412"/>
      <c r="N414" s="59"/>
      <c r="O414" s="59"/>
      <c r="P414" s="1780">
        <f>(CQ627+CS632+CQ646)/I414</f>
        <v>148.1012658227848</v>
      </c>
      <c r="Q414" s="1780"/>
      <c r="R414" s="1780"/>
      <c r="S414" s="412" t="s">
        <v>2279</v>
      </c>
      <c r="T414" s="59"/>
      <c r="U414" s="59"/>
      <c r="V414" s="59"/>
      <c r="W414" s="59"/>
      <c r="X414" s="59"/>
      <c r="Y414" s="1484"/>
      <c r="Z414" s="1484"/>
      <c r="AA414" s="1484"/>
      <c r="AB414" s="1484"/>
      <c r="AC414" s="1484"/>
      <c r="AD414" s="1484"/>
      <c r="AE414" s="1484"/>
      <c r="AF414" s="1484"/>
      <c r="AG414" s="1484"/>
      <c r="AH414" s="1484"/>
      <c r="AI414" s="1484"/>
      <c r="AJ414" s="1484"/>
    </row>
    <row r="415" spans="1:36" ht="12.75" customHeight="1"/>
    <row r="416" spans="1:36" ht="12.75" customHeight="1">
      <c r="A416" s="63" t="s">
        <v>137</v>
      </c>
      <c r="B416" s="63"/>
      <c r="C416" s="63"/>
      <c r="D416" s="63" t="s">
        <v>1012</v>
      </c>
    </row>
    <row r="417" spans="1:36" ht="12.75" customHeight="1">
      <c r="E417" s="16" t="s">
        <v>500</v>
      </c>
      <c r="P417" s="1696">
        <v>1</v>
      </c>
      <c r="Q417" s="1696"/>
      <c r="S417" s="16" t="s">
        <v>149</v>
      </c>
      <c r="AE417" s="1696">
        <v>1</v>
      </c>
      <c r="AF417" s="1696"/>
    </row>
    <row r="418" spans="1:36" ht="12.75" customHeight="1">
      <c r="E418" s="16" t="s">
        <v>150</v>
      </c>
      <c r="P418" s="1696">
        <v>1</v>
      </c>
      <c r="Q418" s="1696"/>
      <c r="S418" s="16" t="s">
        <v>793</v>
      </c>
      <c r="AE418" s="1696" t="s">
        <v>136</v>
      </c>
      <c r="AF418" s="1696"/>
    </row>
    <row r="419" spans="1:36" ht="13.2">
      <c r="F419" s="81" t="s">
        <v>247</v>
      </c>
    </row>
    <row r="420" spans="1:36" ht="13.2">
      <c r="F420" s="1832"/>
      <c r="G420" s="1832"/>
      <c r="H420" s="1832"/>
      <c r="I420" s="1832"/>
      <c r="J420" s="1832"/>
      <c r="K420" s="1832"/>
      <c r="L420" s="1832"/>
      <c r="M420" s="1832"/>
      <c r="N420" s="1832"/>
      <c r="O420" s="1832"/>
      <c r="P420" s="1832"/>
      <c r="Q420" s="1832"/>
      <c r="R420" s="1832"/>
      <c r="S420" s="1832"/>
      <c r="T420" s="1832"/>
      <c r="U420" s="1832"/>
      <c r="V420" s="1832"/>
      <c r="W420" s="1832"/>
      <c r="X420" s="1832"/>
      <c r="Y420" s="1832"/>
      <c r="Z420" s="1832"/>
      <c r="AA420" s="1832"/>
      <c r="AB420" s="1832"/>
      <c r="AC420" s="1832"/>
      <c r="AD420" s="1832"/>
      <c r="AE420" s="1832"/>
      <c r="AF420" s="1832"/>
      <c r="AG420" s="1832"/>
      <c r="AH420" s="1832"/>
    </row>
    <row r="421" spans="1:36" ht="13.2">
      <c r="F421" s="1833"/>
      <c r="G421" s="1833"/>
      <c r="H421" s="1833"/>
      <c r="I421" s="1833"/>
      <c r="J421" s="1833"/>
      <c r="K421" s="1833"/>
      <c r="L421" s="1833"/>
      <c r="M421" s="1833"/>
      <c r="N421" s="1833"/>
      <c r="O421" s="1833"/>
      <c r="P421" s="1833"/>
      <c r="Q421" s="1833"/>
      <c r="R421" s="1833"/>
      <c r="S421" s="1833"/>
      <c r="T421" s="1833"/>
      <c r="U421" s="1833"/>
      <c r="V421" s="1833"/>
      <c r="W421" s="1833"/>
      <c r="X421" s="1833"/>
      <c r="Y421" s="1833"/>
      <c r="Z421" s="1833"/>
      <c r="AA421" s="1833"/>
      <c r="AB421" s="1833"/>
      <c r="AC421" s="1833"/>
      <c r="AD421" s="1833"/>
      <c r="AE421" s="1833"/>
      <c r="AF421" s="1833"/>
      <c r="AG421" s="1833"/>
      <c r="AH421" s="1833"/>
    </row>
    <row r="422" spans="1:36" ht="13.2">
      <c r="E422" s="16" t="s">
        <v>942</v>
      </c>
      <c r="N422" s="50"/>
      <c r="O422" s="50"/>
      <c r="P422" s="390"/>
      <c r="Q422" s="1696" t="s">
        <v>119</v>
      </c>
      <c r="R422" s="1696"/>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96" t="s">
        <v>136</v>
      </c>
      <c r="AF423" s="1950"/>
    </row>
    <row r="424" spans="1:36" ht="13.2">
      <c r="S424" s="35"/>
      <c r="T424" s="35"/>
    </row>
    <row r="425" spans="1:36" ht="12.75" customHeight="1">
      <c r="A425" s="63"/>
      <c r="B425" s="63"/>
      <c r="C425" s="63"/>
      <c r="E425" s="8" t="s">
        <v>87</v>
      </c>
      <c r="Z425" s="1696" t="s">
        <v>531</v>
      </c>
      <c r="AA425" s="169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96" t="s">
        <v>136</v>
      </c>
      <c r="AA427" s="1696"/>
    </row>
    <row r="428" spans="1:36" ht="12.75" customHeight="1">
      <c r="AG428" s="16">
        <v>0</v>
      </c>
    </row>
    <row r="429" spans="1:36" ht="12.75" customHeight="1">
      <c r="A429" s="63" t="s">
        <v>411</v>
      </c>
      <c r="B429" s="63"/>
      <c r="C429" s="63"/>
      <c r="D429" s="63" t="s">
        <v>189</v>
      </c>
      <c r="AF429" s="94"/>
    </row>
    <row r="430" spans="1:36" ht="12.75" customHeight="1">
      <c r="D430" s="1896"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827"/>
      <c r="AG430" s="1854">
        <v>63</v>
      </c>
      <c r="AH430" s="1854"/>
      <c r="AI430" s="1854"/>
      <c r="AJ430" s="1854"/>
    </row>
    <row r="431" spans="1:36" ht="12.75" customHeight="1">
      <c r="D431" s="1852" t="s">
        <v>1524</v>
      </c>
      <c r="E431" s="1775"/>
      <c r="F431" s="1775"/>
      <c r="G431" s="1775"/>
      <c r="H431" s="1775"/>
      <c r="I431" s="1775"/>
      <c r="J431" s="1775"/>
      <c r="K431" s="1775"/>
      <c r="L431" s="1775"/>
      <c r="M431" s="1775"/>
      <c r="N431" s="1775"/>
      <c r="O431" s="1775"/>
      <c r="P431" s="1775"/>
      <c r="Q431" s="1775"/>
      <c r="R431" s="1775"/>
      <c r="S431" s="1775"/>
      <c r="T431" s="1775"/>
      <c r="U431" s="1775"/>
      <c r="V431" s="1775"/>
      <c r="W431" s="1775"/>
      <c r="X431" s="1775"/>
      <c r="Y431" s="1775"/>
      <c r="Z431" s="1775"/>
      <c r="AA431" s="1775"/>
      <c r="AB431" s="1775"/>
      <c r="AC431" s="1775"/>
      <c r="AD431" s="1775"/>
      <c r="AE431" s="1775"/>
      <c r="AF431" s="1776"/>
      <c r="AG431" s="1834"/>
      <c r="AH431" s="1835"/>
      <c r="AI431" s="1835"/>
      <c r="AJ431" s="1835"/>
    </row>
    <row r="432" spans="1:36" ht="12.75" customHeight="1">
      <c r="D432" s="1852" t="s">
        <v>1525</v>
      </c>
      <c r="E432" s="1775"/>
      <c r="F432" s="1775"/>
      <c r="G432" s="1775"/>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776"/>
      <c r="AG432" s="1854">
        <v>62</v>
      </c>
      <c r="AH432" s="1854"/>
      <c r="AI432" s="1854"/>
      <c r="AJ432" s="1854"/>
    </row>
    <row r="433" spans="4:36" ht="12.75" customHeight="1">
      <c r="D433" s="1852" t="s">
        <v>1521</v>
      </c>
      <c r="E433" s="1775"/>
      <c r="F433" s="1775"/>
      <c r="G433" s="1775"/>
      <c r="H433" s="1775"/>
      <c r="I433" s="1775"/>
      <c r="J433" s="1775"/>
      <c r="K433" s="1775"/>
      <c r="L433" s="1775"/>
      <c r="M433" s="1775"/>
      <c r="N433" s="1775"/>
      <c r="O433" s="1775"/>
      <c r="P433" s="1775"/>
      <c r="Q433" s="1775"/>
      <c r="R433" s="1775"/>
      <c r="S433" s="1775"/>
      <c r="T433" s="1775"/>
      <c r="U433" s="1775"/>
      <c r="V433" s="1775"/>
      <c r="W433" s="1775"/>
      <c r="X433" s="1775"/>
      <c r="Y433" s="1775"/>
      <c r="Z433" s="1775"/>
      <c r="AA433" s="1775"/>
      <c r="AB433" s="1775"/>
      <c r="AC433" s="1775"/>
      <c r="AD433" s="1775"/>
      <c r="AE433" s="1775"/>
      <c r="AF433" s="1776"/>
      <c r="AG433" s="1854">
        <v>62</v>
      </c>
      <c r="AH433" s="1854"/>
      <c r="AI433" s="1854"/>
      <c r="AJ433" s="1854"/>
    </row>
    <row r="434" spans="4:36" ht="12.75" customHeight="1">
      <c r="D434" s="1852" t="s">
        <v>1526</v>
      </c>
      <c r="E434" s="1775"/>
      <c r="F434" s="1775"/>
      <c r="G434" s="1775"/>
      <c r="H434" s="1775"/>
      <c r="I434" s="1775"/>
      <c r="J434" s="1775"/>
      <c r="K434" s="1775"/>
      <c r="L434" s="1775"/>
      <c r="M434" s="1775"/>
      <c r="N434" s="1775"/>
      <c r="O434" s="1775"/>
      <c r="P434" s="1775"/>
      <c r="Q434" s="1775"/>
      <c r="R434" s="1775"/>
      <c r="S434" s="1775"/>
      <c r="T434" s="1775"/>
      <c r="U434" s="1775"/>
      <c r="V434" s="1775"/>
      <c r="W434" s="1775"/>
      <c r="X434" s="1775"/>
      <c r="Y434" s="1775"/>
      <c r="Z434" s="1775"/>
      <c r="AA434" s="1775"/>
      <c r="AB434" s="1775"/>
      <c r="AC434" s="1775"/>
      <c r="AD434" s="1775"/>
      <c r="AE434" s="1775"/>
      <c r="AF434" s="1776"/>
      <c r="AG434" s="1828">
        <f>IF(ISERROR(AG433/AG432),"",AG433/AG432)</f>
        <v>1</v>
      </c>
      <c r="AH434" s="1828"/>
      <c r="AI434" s="1828"/>
      <c r="AJ434" s="1828"/>
    </row>
    <row r="435" spans="4:36" ht="12.75" customHeight="1">
      <c r="D435" s="1852" t="s">
        <v>1523</v>
      </c>
      <c r="E435" s="1775"/>
      <c r="F435" s="1775"/>
      <c r="G435" s="1775"/>
      <c r="H435" s="1775"/>
      <c r="I435" s="1775"/>
      <c r="J435" s="1775"/>
      <c r="K435" s="1775"/>
      <c r="L435" s="1775"/>
      <c r="M435" s="1775"/>
      <c r="N435" s="1775"/>
      <c r="O435" s="1775"/>
      <c r="P435" s="1775"/>
      <c r="Q435" s="1775"/>
      <c r="R435" s="1775"/>
      <c r="S435" s="1775"/>
      <c r="T435" s="1775"/>
      <c r="U435" s="1775"/>
      <c r="V435" s="1775"/>
      <c r="W435" s="1775"/>
      <c r="X435" s="1775"/>
      <c r="Y435" s="1775"/>
      <c r="Z435" s="1775"/>
      <c r="AA435" s="1775"/>
      <c r="AB435" s="1775"/>
      <c r="AC435" s="1775"/>
      <c r="AD435" s="1775"/>
      <c r="AE435" s="1775"/>
      <c r="AF435" s="1776"/>
      <c r="AG435" s="1814">
        <v>50906</v>
      </c>
      <c r="AH435" s="1814"/>
      <c r="AI435" s="1814"/>
      <c r="AJ435" s="1814"/>
    </row>
    <row r="436" spans="4:36" ht="12.75" customHeight="1">
      <c r="D436" s="1852" t="s">
        <v>1522</v>
      </c>
      <c r="E436" s="1775"/>
      <c r="F436" s="1775"/>
      <c r="G436" s="1775"/>
      <c r="H436" s="1775"/>
      <c r="I436" s="1775"/>
      <c r="J436" s="1775"/>
      <c r="K436" s="1775"/>
      <c r="L436" s="1775"/>
      <c r="M436" s="1775"/>
      <c r="N436" s="1775"/>
      <c r="O436" s="1775"/>
      <c r="P436" s="1775"/>
      <c r="Q436" s="1775"/>
      <c r="R436" s="1775"/>
      <c r="S436" s="1775"/>
      <c r="T436" s="1775"/>
      <c r="U436" s="1775"/>
      <c r="V436" s="1775"/>
      <c r="W436" s="1775"/>
      <c r="X436" s="1775"/>
      <c r="Y436" s="1775"/>
      <c r="Z436" s="1775"/>
      <c r="AA436" s="1775"/>
      <c r="AB436" s="1775"/>
      <c r="AC436" s="1775"/>
      <c r="AD436" s="1775"/>
      <c r="AE436" s="1775"/>
      <c r="AF436" s="1776"/>
      <c r="AG436" s="1814">
        <v>50906</v>
      </c>
      <c r="AH436" s="1814"/>
      <c r="AI436" s="1814"/>
      <c r="AJ436" s="1814"/>
    </row>
    <row r="437" spans="4:36" ht="12.75" customHeight="1">
      <c r="D437" s="1852" t="s">
        <v>1529</v>
      </c>
      <c r="E437" s="1775"/>
      <c r="F437" s="1775"/>
      <c r="G437" s="1775"/>
      <c r="H437" s="1775"/>
      <c r="I437" s="1775"/>
      <c r="J437" s="1775"/>
      <c r="K437" s="1775"/>
      <c r="L437" s="1775"/>
      <c r="M437" s="1775"/>
      <c r="N437" s="1775"/>
      <c r="O437" s="1775"/>
      <c r="P437" s="1775"/>
      <c r="Q437" s="1775"/>
      <c r="R437" s="1775"/>
      <c r="S437" s="1775"/>
      <c r="T437" s="1775"/>
      <c r="U437" s="1775"/>
      <c r="V437" s="1775"/>
      <c r="W437" s="1775"/>
      <c r="X437" s="1775"/>
      <c r="Y437" s="1775"/>
      <c r="Z437" s="1775"/>
      <c r="AA437" s="1775"/>
      <c r="AB437" s="1775"/>
      <c r="AC437" s="1775"/>
      <c r="AD437" s="1775"/>
      <c r="AE437" s="1775"/>
      <c r="AF437" s="1776"/>
      <c r="AG437" s="1828">
        <f>IF(ISERROR(AG436/AG435),"",AG436/AG435)</f>
        <v>1</v>
      </c>
      <c r="AH437" s="1828"/>
      <c r="AI437" s="1828"/>
      <c r="AJ437" s="1828"/>
    </row>
    <row r="438" spans="4:36" ht="12.75" customHeight="1">
      <c r="D438" s="1852" t="s">
        <v>1527</v>
      </c>
      <c r="E438" s="1775"/>
      <c r="F438" s="1775"/>
      <c r="G438" s="1775"/>
      <c r="H438" s="1775"/>
      <c r="I438" s="1775"/>
      <c r="J438" s="1775"/>
      <c r="K438" s="1775"/>
      <c r="L438" s="1775"/>
      <c r="M438" s="1775"/>
      <c r="N438" s="1775"/>
      <c r="O438" s="1775"/>
      <c r="P438" s="1775"/>
      <c r="Q438" s="1775"/>
      <c r="R438" s="1775"/>
      <c r="S438" s="1775"/>
      <c r="T438" s="1775"/>
      <c r="U438" s="1775"/>
      <c r="V438" s="1775"/>
      <c r="W438" s="1775"/>
      <c r="X438" s="1775"/>
      <c r="Y438" s="1775"/>
      <c r="Z438" s="1775"/>
      <c r="AA438" s="1775"/>
      <c r="AB438" s="1775"/>
      <c r="AC438" s="1775"/>
      <c r="AD438" s="1775"/>
      <c r="AE438" s="1775"/>
      <c r="AF438" s="1776"/>
      <c r="AG438" s="1828">
        <f>MIN(IF(AG434&gt;AG437,AG437,AG434),1)</f>
        <v>1</v>
      </c>
      <c r="AH438" s="1828"/>
      <c r="AI438" s="1828"/>
      <c r="AJ438" s="1828"/>
    </row>
    <row r="439" spans="4:36" ht="13.2">
      <c r="D439" s="1774" t="s">
        <v>1963</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827"/>
      <c r="AG439" s="1814">
        <v>1782</v>
      </c>
      <c r="AH439" s="1814"/>
      <c r="AI439" s="1814"/>
      <c r="AJ439" s="1814"/>
    </row>
    <row r="440" spans="4:36" ht="13.2">
      <c r="D440" s="1852" t="s">
        <v>231</v>
      </c>
      <c r="E440" s="1775"/>
      <c r="F440" s="1775"/>
      <c r="G440" s="1775"/>
      <c r="H440" s="1775"/>
      <c r="I440" s="1775"/>
      <c r="J440" s="1775"/>
      <c r="K440" s="1775"/>
      <c r="L440" s="1775"/>
      <c r="M440" s="1775"/>
      <c r="N440" s="1775"/>
      <c r="O440" s="1775"/>
      <c r="P440" s="1775"/>
      <c r="Q440" s="1775"/>
      <c r="R440" s="1775"/>
      <c r="S440" s="1775"/>
      <c r="T440" s="1775"/>
      <c r="U440" s="1775"/>
      <c r="V440" s="1775"/>
      <c r="W440" s="1775"/>
      <c r="X440" s="1775"/>
      <c r="Y440" s="1775"/>
      <c r="Z440" s="1775"/>
      <c r="AA440" s="1775"/>
      <c r="AB440" s="1775"/>
      <c r="AC440" s="1775"/>
      <c r="AD440" s="1775"/>
      <c r="AE440" s="1775"/>
      <c r="AF440" s="1776"/>
      <c r="AG440" s="1814">
        <v>0</v>
      </c>
      <c r="AH440" s="1814"/>
      <c r="AI440" s="1814"/>
      <c r="AJ440" s="1814"/>
    </row>
    <row r="441" spans="4:36" ht="12.75" customHeight="1">
      <c r="D441" s="1774" t="s">
        <v>1964</v>
      </c>
      <c r="E441" s="1775"/>
      <c r="F441" s="1775"/>
      <c r="G441" s="1775"/>
      <c r="H441" s="1775"/>
      <c r="I441" s="1775"/>
      <c r="J441" s="1775"/>
      <c r="K441" s="1775"/>
      <c r="L441" s="1775"/>
      <c r="M441" s="1775"/>
      <c r="N441" s="1775"/>
      <c r="O441" s="1775"/>
      <c r="P441" s="1775"/>
      <c r="Q441" s="1775"/>
      <c r="R441" s="1775"/>
      <c r="S441" s="1775"/>
      <c r="T441" s="1775"/>
      <c r="U441" s="1775"/>
      <c r="V441" s="1775"/>
      <c r="W441" s="1775"/>
      <c r="X441" s="1775"/>
      <c r="Y441" s="1775"/>
      <c r="Z441" s="1775"/>
      <c r="AA441" s="1775"/>
      <c r="AB441" s="1775"/>
      <c r="AC441" s="1775"/>
      <c r="AD441" s="1775"/>
      <c r="AE441" s="1775"/>
      <c r="AF441" s="1776"/>
      <c r="AG441" s="1814">
        <v>1175</v>
      </c>
      <c r="AH441" s="1814"/>
      <c r="AI441" s="1814"/>
      <c r="AJ441" s="1814"/>
    </row>
    <row r="442" spans="4:36" ht="13.2">
      <c r="D442" s="1852" t="s">
        <v>1528</v>
      </c>
      <c r="E442" s="1775"/>
      <c r="F442" s="1775"/>
      <c r="G442" s="1775"/>
      <c r="H442" s="1775"/>
      <c r="I442" s="1775"/>
      <c r="J442" s="1775"/>
      <c r="K442" s="1775"/>
      <c r="L442" s="1775"/>
      <c r="M442" s="1775"/>
      <c r="N442" s="1775"/>
      <c r="O442" s="1775"/>
      <c r="P442" s="1775"/>
      <c r="Q442" s="1775"/>
      <c r="R442" s="1775"/>
      <c r="S442" s="1775"/>
      <c r="T442" s="1775"/>
      <c r="U442" s="1775"/>
      <c r="V442" s="1775"/>
      <c r="W442" s="1775"/>
      <c r="X442" s="1775"/>
      <c r="Y442" s="1775"/>
      <c r="Z442" s="1775"/>
      <c r="AA442" s="1775"/>
      <c r="AB442" s="1775"/>
      <c r="AC442" s="1775"/>
      <c r="AD442" s="1775"/>
      <c r="AE442" s="1775"/>
      <c r="AF442" s="1776"/>
      <c r="AG442" s="1814">
        <v>23509</v>
      </c>
      <c r="AH442" s="1814"/>
      <c r="AI442" s="1814"/>
      <c r="AJ442" s="1814"/>
    </row>
    <row r="443" spans="4:36" ht="13.2">
      <c r="D443" s="1852" t="s">
        <v>1530</v>
      </c>
      <c r="E443" s="1775"/>
      <c r="F443" s="1775"/>
      <c r="G443" s="1775"/>
      <c r="H443" s="1775"/>
      <c r="I443" s="1775"/>
      <c r="J443" s="1775"/>
      <c r="K443" s="1775"/>
      <c r="L443" s="1775"/>
      <c r="M443" s="1775"/>
      <c r="N443" s="1775"/>
      <c r="O443" s="1775"/>
      <c r="P443" s="1775"/>
      <c r="Q443" s="1775"/>
      <c r="R443" s="1775"/>
      <c r="S443" s="1775"/>
      <c r="T443" s="1775"/>
      <c r="U443" s="1775"/>
      <c r="V443" s="1775"/>
      <c r="W443" s="1775"/>
      <c r="X443" s="1775"/>
      <c r="Y443" s="1775"/>
      <c r="Z443" s="1775"/>
      <c r="AA443" s="1775"/>
      <c r="AB443" s="1775"/>
      <c r="AC443" s="1775"/>
      <c r="AD443" s="1775"/>
      <c r="AE443" s="1775"/>
      <c r="AF443" s="1776"/>
      <c r="AG443" s="1859">
        <f>AG435+AG439+AG441+AG442</f>
        <v>77372</v>
      </c>
      <c r="AH443" s="1859"/>
      <c r="AI443" s="1859"/>
      <c r="AJ443" s="1859"/>
    </row>
    <row r="444" spans="4:36" ht="13.2">
      <c r="D444" s="1973" t="s">
        <v>1965</v>
      </c>
      <c r="E444" s="1973"/>
      <c r="F444" s="1973"/>
      <c r="G444" s="1973"/>
      <c r="H444" s="1973"/>
      <c r="I444" s="1973"/>
      <c r="J444" s="1973"/>
      <c r="K444" s="1973"/>
      <c r="L444" s="1973"/>
      <c r="M444" s="1973"/>
      <c r="N444" s="1973"/>
      <c r="O444" s="1973"/>
      <c r="P444" s="1973"/>
      <c r="Q444" s="1973"/>
      <c r="R444" s="1973"/>
      <c r="S444" s="1973"/>
      <c r="T444" s="1973"/>
      <c r="U444" s="1973"/>
      <c r="V444" s="1973"/>
      <c r="W444" s="1973"/>
      <c r="X444" s="1973"/>
      <c r="Y444" s="1973"/>
      <c r="Z444" s="1973"/>
      <c r="AA444" s="1973"/>
      <c r="AB444" s="1973"/>
      <c r="AC444" s="1973"/>
      <c r="AD444" s="1973"/>
      <c r="AE444" s="1973"/>
      <c r="AF444" s="1973"/>
      <c r="AG444" s="1973"/>
      <c r="AH444" s="1973"/>
      <c r="AI444" s="1973"/>
      <c r="AJ444" s="1973"/>
    </row>
    <row r="445" spans="4:36" ht="13.65" customHeight="1">
      <c r="D445" s="1974"/>
      <c r="E445" s="1974"/>
      <c r="F445" s="1974"/>
      <c r="G445" s="1974"/>
      <c r="H445" s="1974"/>
      <c r="I445" s="1974"/>
      <c r="J445" s="1974"/>
      <c r="K445" s="1974"/>
      <c r="L445" s="1974"/>
      <c r="M445" s="1974"/>
      <c r="N445" s="1974"/>
      <c r="O445" s="1974"/>
      <c r="P445" s="1974"/>
      <c r="Q445" s="1974"/>
      <c r="R445" s="1974"/>
      <c r="S445" s="1974"/>
      <c r="T445" s="1974"/>
      <c r="U445" s="1974"/>
      <c r="V445" s="1974"/>
      <c r="W445" s="1974"/>
      <c r="X445" s="1974"/>
      <c r="Y445" s="1974"/>
      <c r="Z445" s="1974"/>
      <c r="AA445" s="1974"/>
      <c r="AB445" s="1974"/>
      <c r="AC445" s="1974"/>
      <c r="AD445" s="1974"/>
      <c r="AE445" s="1974"/>
      <c r="AF445" s="1974"/>
      <c r="AG445" s="1974"/>
      <c r="AH445" s="1974"/>
      <c r="AI445" s="1974"/>
      <c r="AJ445" s="1974"/>
    </row>
    <row r="446" spans="4:36" ht="13.2">
      <c r="D446" s="2084"/>
      <c r="E446" s="2084"/>
      <c r="F446" s="2084"/>
      <c r="G446" s="2084"/>
      <c r="H446" s="2084"/>
      <c r="I446" s="2084"/>
      <c r="J446" s="2084"/>
      <c r="K446" s="2084"/>
      <c r="L446" s="2084"/>
      <c r="M446" s="2084"/>
      <c r="N446" s="2084"/>
      <c r="O446" s="2084"/>
      <c r="P446" s="2084"/>
      <c r="Q446" s="2084"/>
      <c r="R446" s="2084"/>
      <c r="S446" s="2084"/>
      <c r="T446" s="2084"/>
      <c r="U446" s="2084"/>
      <c r="V446" s="2084"/>
      <c r="W446" s="2084"/>
      <c r="X446" s="2084"/>
      <c r="Y446" s="2084"/>
      <c r="Z446" s="2084"/>
      <c r="AA446" s="2084"/>
      <c r="AB446" s="2084"/>
      <c r="AC446" s="2084"/>
      <c r="AD446" s="2084"/>
      <c r="AE446" s="2084"/>
      <c r="AF446" s="2084"/>
      <c r="AG446" s="2084"/>
      <c r="AH446" s="2084"/>
      <c r="AI446" s="2084"/>
      <c r="AJ446" s="2084"/>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825">
        <f>'Sources and Uses Budget'!B104/Application!AG430</f>
        <v>616437.28571428568</v>
      </c>
      <c r="AD447" s="1825"/>
      <c r="AE447" s="1825"/>
      <c r="AF447" s="1825"/>
      <c r="AG447" s="1853"/>
      <c r="AH447" s="1853"/>
      <c r="AI447" s="1853"/>
      <c r="AJ447" s="185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825">
        <f>'Sources and Uses Budget'!C104/Application!AG430</f>
        <v>616437.28571428568</v>
      </c>
      <c r="AD448" s="1825"/>
      <c r="AE448" s="1825"/>
      <c r="AF448" s="1825"/>
      <c r="AG448" s="1853"/>
      <c r="AH448" s="1853"/>
      <c r="AI448" s="1853"/>
      <c r="AJ448" s="185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825">
        <f>('Sources and Uses Budget'!S106+'Sources and Uses Budget'!T106)/Application!AG430</f>
        <v>530124.28571428568</v>
      </c>
      <c r="AD449" s="1825"/>
      <c r="AE449" s="1825"/>
      <c r="AF449" s="182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16" t="s">
        <v>236</v>
      </c>
      <c r="E458" s="1817"/>
      <c r="F458" s="1817"/>
      <c r="G458" s="1817"/>
      <c r="H458" s="1817"/>
      <c r="I458" s="1817"/>
      <c r="J458" s="1817"/>
      <c r="K458" s="1817"/>
      <c r="L458" s="1817"/>
      <c r="M458" s="1817"/>
      <c r="N458" s="1817"/>
      <c r="O458" s="1817"/>
      <c r="P458" s="1817"/>
      <c r="Q458" s="1817"/>
      <c r="R458" s="1817"/>
      <c r="S458" s="1817"/>
      <c r="T458" s="1817"/>
      <c r="U458" s="1817"/>
      <c r="V458" s="1818"/>
      <c r="W458" s="1777">
        <v>31</v>
      </c>
      <c r="X458" s="1778"/>
      <c r="Y458" s="1779"/>
      <c r="Z458" s="495"/>
      <c r="AA458" s="495"/>
      <c r="AB458" s="495"/>
      <c r="AC458" s="495"/>
      <c r="AD458" s="495"/>
      <c r="AE458" s="495"/>
      <c r="AF458" s="495"/>
      <c r="AG458" s="495"/>
      <c r="AH458" s="495"/>
      <c r="AI458" s="495"/>
      <c r="AJ458" s="327"/>
      <c r="AK458" s="327"/>
      <c r="AL458" s="327"/>
    </row>
    <row r="459" spans="1:38" ht="12.75" customHeight="1">
      <c r="A459" s="327"/>
      <c r="B459" s="327"/>
      <c r="C459" s="327"/>
      <c r="D459" s="1816" t="s">
        <v>237</v>
      </c>
      <c r="E459" s="1817"/>
      <c r="F459" s="1817"/>
      <c r="G459" s="1817"/>
      <c r="H459" s="1817"/>
      <c r="I459" s="1817"/>
      <c r="J459" s="1817"/>
      <c r="K459" s="1817"/>
      <c r="L459" s="1817"/>
      <c r="M459" s="1817"/>
      <c r="N459" s="1817"/>
      <c r="O459" s="1817"/>
      <c r="P459" s="1817"/>
      <c r="Q459" s="1817"/>
      <c r="R459" s="1817"/>
      <c r="S459" s="1817"/>
      <c r="T459" s="1817"/>
      <c r="U459" s="1817"/>
      <c r="V459" s="1818"/>
      <c r="W459" s="1777" t="s">
        <v>136</v>
      </c>
      <c r="X459" s="1778"/>
      <c r="Y459" s="1779"/>
      <c r="Z459" s="495"/>
      <c r="AA459" s="495"/>
      <c r="AB459" s="495"/>
      <c r="AC459" s="495"/>
      <c r="AD459" s="495"/>
      <c r="AE459" s="495"/>
      <c r="AF459" s="495"/>
      <c r="AG459" s="495"/>
      <c r="AH459" s="495"/>
      <c r="AI459" s="495"/>
      <c r="AJ459" s="327"/>
      <c r="AK459" s="327"/>
      <c r="AL459" s="327"/>
    </row>
    <row r="460" spans="1:38" ht="12.75" customHeight="1">
      <c r="A460" s="327"/>
      <c r="B460" s="327"/>
      <c r="C460" s="327"/>
      <c r="D460" s="1816" t="s">
        <v>238</v>
      </c>
      <c r="E460" s="1817"/>
      <c r="F460" s="1817"/>
      <c r="G460" s="1817"/>
      <c r="H460" s="1817"/>
      <c r="I460" s="1817"/>
      <c r="J460" s="1817"/>
      <c r="K460" s="1817"/>
      <c r="L460" s="1817"/>
      <c r="M460" s="1817"/>
      <c r="N460" s="1817"/>
      <c r="O460" s="1817"/>
      <c r="P460" s="1817"/>
      <c r="Q460" s="1817"/>
      <c r="R460" s="1817"/>
      <c r="S460" s="1817"/>
      <c r="T460" s="1817"/>
      <c r="U460" s="1817"/>
      <c r="V460" s="1818"/>
      <c r="W460" s="1777" t="s">
        <v>136</v>
      </c>
      <c r="X460" s="1778"/>
      <c r="Y460" s="1779"/>
      <c r="Z460" s="495"/>
      <c r="AA460" s="495"/>
      <c r="AB460" s="495"/>
      <c r="AC460" s="495"/>
      <c r="AD460" s="495"/>
      <c r="AE460" s="495"/>
      <c r="AF460" s="495"/>
      <c r="AG460" s="495"/>
      <c r="AH460" s="495"/>
      <c r="AI460" s="495"/>
      <c r="AJ460" s="327"/>
      <c r="AK460" s="327"/>
      <c r="AL460" s="327"/>
    </row>
    <row r="461" spans="1:38" ht="12.75" customHeight="1">
      <c r="A461" s="327"/>
      <c r="B461" s="327"/>
      <c r="C461" s="327"/>
      <c r="D461" s="1816" t="s">
        <v>242</v>
      </c>
      <c r="E461" s="1817"/>
      <c r="F461" s="1817"/>
      <c r="G461" s="1817"/>
      <c r="H461" s="1817"/>
      <c r="I461" s="1817"/>
      <c r="J461" s="1817"/>
      <c r="K461" s="1817"/>
      <c r="L461" s="1817"/>
      <c r="M461" s="1817"/>
      <c r="N461" s="1817"/>
      <c r="O461" s="1817"/>
      <c r="P461" s="1817"/>
      <c r="Q461" s="1817"/>
      <c r="R461" s="1817"/>
      <c r="S461" s="1817"/>
      <c r="T461" s="1817"/>
      <c r="U461" s="1817"/>
      <c r="V461" s="1818"/>
      <c r="W461" s="1777" t="s">
        <v>136</v>
      </c>
      <c r="X461" s="1778"/>
      <c r="Y461" s="1779"/>
      <c r="Z461" s="495"/>
      <c r="AA461" s="495"/>
      <c r="AB461" s="495"/>
      <c r="AC461" s="495"/>
      <c r="AD461" s="495"/>
      <c r="AE461" s="495"/>
      <c r="AF461" s="495"/>
      <c r="AG461" s="495"/>
      <c r="AH461" s="495"/>
      <c r="AI461" s="495"/>
      <c r="AJ461" s="327"/>
      <c r="AK461" s="327"/>
      <c r="AL461" s="327"/>
    </row>
    <row r="462" spans="1:38" ht="12.75" customHeight="1">
      <c r="A462" s="327"/>
      <c r="B462" s="327"/>
      <c r="C462" s="327"/>
      <c r="D462" s="1829" t="s">
        <v>1228</v>
      </c>
      <c r="E462" s="1817"/>
      <c r="F462" s="1817"/>
      <c r="G462" s="1817"/>
      <c r="H462" s="1817"/>
      <c r="I462" s="1817"/>
      <c r="J462" s="1817"/>
      <c r="K462" s="1817"/>
      <c r="L462" s="1817"/>
      <c r="M462" s="1817"/>
      <c r="N462" s="1817"/>
      <c r="O462" s="1817"/>
      <c r="P462" s="1817"/>
      <c r="Q462" s="1817"/>
      <c r="R462" s="1817"/>
      <c r="S462" s="1817"/>
      <c r="T462" s="1817"/>
      <c r="U462" s="1817"/>
      <c r="V462" s="1818"/>
      <c r="W462" s="1777" t="s">
        <v>136</v>
      </c>
      <c r="X462" s="1778"/>
      <c r="Y462" s="1779"/>
      <c r="Z462" s="495"/>
      <c r="AA462" s="495"/>
      <c r="AB462" s="495"/>
      <c r="AC462" s="495"/>
      <c r="AD462" s="495"/>
      <c r="AE462" s="495"/>
      <c r="AF462" s="495"/>
      <c r="AG462" s="495"/>
      <c r="AH462" s="495"/>
      <c r="AI462" s="495"/>
      <c r="AJ462" s="327"/>
      <c r="AK462" s="327"/>
      <c r="AL462" s="327"/>
    </row>
    <row r="463" spans="1:38" ht="12.75" customHeight="1">
      <c r="A463" s="327"/>
      <c r="B463" s="327"/>
      <c r="C463" s="327"/>
      <c r="D463" s="1816" t="s">
        <v>246</v>
      </c>
      <c r="E463" s="1817"/>
      <c r="F463" s="1817"/>
      <c r="G463" s="1817"/>
      <c r="H463" s="1817"/>
      <c r="I463" s="1817"/>
      <c r="J463" s="1817"/>
      <c r="K463" s="1817"/>
      <c r="L463" s="1817"/>
      <c r="M463" s="1817"/>
      <c r="N463" s="1817"/>
      <c r="O463" s="1817"/>
      <c r="P463" s="1817"/>
      <c r="Q463" s="1817"/>
      <c r="R463" s="1817"/>
      <c r="S463" s="1817"/>
      <c r="T463" s="1817"/>
      <c r="U463" s="1817"/>
      <c r="V463" s="1818"/>
      <c r="W463" s="1777" t="s">
        <v>136</v>
      </c>
      <c r="X463" s="1778"/>
      <c r="Y463" s="1779"/>
      <c r="Z463" s="495"/>
      <c r="AA463" s="495"/>
      <c r="AB463" s="495"/>
      <c r="AC463" s="495"/>
      <c r="AD463" s="495"/>
      <c r="AE463" s="495"/>
      <c r="AF463" s="495"/>
      <c r="AG463" s="495"/>
      <c r="AH463" s="495"/>
      <c r="AI463" s="495"/>
      <c r="AJ463" s="327"/>
      <c r="AK463" s="327"/>
      <c r="AL463" s="327"/>
    </row>
    <row r="464" spans="1:38" ht="12.75" customHeight="1">
      <c r="A464" s="887"/>
      <c r="B464" s="887"/>
      <c r="C464" s="887"/>
      <c r="D464" s="1829" t="s">
        <v>1448</v>
      </c>
      <c r="E464" s="1830"/>
      <c r="F464" s="1830"/>
      <c r="G464" s="1830"/>
      <c r="H464" s="1830"/>
      <c r="I464" s="1830"/>
      <c r="J464" s="1830"/>
      <c r="K464" s="1830"/>
      <c r="L464" s="1830"/>
      <c r="M464" s="1830"/>
      <c r="N464" s="1830"/>
      <c r="O464" s="1830"/>
      <c r="P464" s="1830"/>
      <c r="Q464" s="1830"/>
      <c r="R464" s="1830"/>
      <c r="S464" s="1830"/>
      <c r="T464" s="1830"/>
      <c r="U464" s="1830"/>
      <c r="V464" s="1831"/>
      <c r="W464" s="1864" t="s">
        <v>136</v>
      </c>
      <c r="X464" s="1865"/>
      <c r="Y464" s="186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819"/>
      <c r="H465" s="1820"/>
      <c r="I465" s="1820"/>
      <c r="J465" s="1820"/>
      <c r="K465" s="1820"/>
      <c r="L465" s="1820"/>
      <c r="M465" s="1820"/>
      <c r="N465" s="1820"/>
      <c r="O465" s="1820"/>
      <c r="P465" s="1820"/>
      <c r="Q465" s="1820"/>
      <c r="R465" s="1820"/>
      <c r="S465" s="1820"/>
      <c r="T465" s="1820"/>
      <c r="U465" s="1820"/>
      <c r="V465" s="1821"/>
      <c r="W465" s="1777" t="s">
        <v>136</v>
      </c>
      <c r="X465" s="1778"/>
      <c r="Y465" s="17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71" t="s">
        <v>239</v>
      </c>
      <c r="E469" s="1972"/>
      <c r="F469" s="1972"/>
      <c r="G469" s="1972"/>
      <c r="H469" s="1972"/>
      <c r="I469" s="1972"/>
      <c r="J469" s="1972"/>
      <c r="K469" s="1972"/>
      <c r="L469" s="1972"/>
      <c r="M469" s="1972"/>
      <c r="N469" s="1972"/>
      <c r="O469" s="1972"/>
      <c r="P469" s="1972"/>
      <c r="Q469" s="1972"/>
      <c r="R469" s="1972"/>
      <c r="S469" s="1972"/>
      <c r="T469" s="1972"/>
      <c r="U469" s="1972"/>
      <c r="V469" s="1972"/>
      <c r="W469" s="1857"/>
      <c r="X469" s="1857"/>
      <c r="Y469" s="185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16" t="s">
        <v>240</v>
      </c>
      <c r="E470" s="1817"/>
      <c r="F470" s="1817"/>
      <c r="G470" s="1817"/>
      <c r="H470" s="1817"/>
      <c r="I470" s="1817"/>
      <c r="J470" s="1817"/>
      <c r="K470" s="1817"/>
      <c r="L470" s="1817"/>
      <c r="M470" s="1817"/>
      <c r="N470" s="1817"/>
      <c r="O470" s="1817"/>
      <c r="P470" s="1817"/>
      <c r="Q470" s="1817"/>
      <c r="R470" s="1817"/>
      <c r="S470" s="1817"/>
      <c r="T470" s="1817"/>
      <c r="U470" s="1817"/>
      <c r="V470" s="1818"/>
      <c r="W470" s="1777" t="s">
        <v>136</v>
      </c>
      <c r="X470" s="1778"/>
      <c r="Y470" s="17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975" t="s">
        <v>1141</v>
      </c>
      <c r="B473" s="1975"/>
      <c r="C473" s="1975"/>
      <c r="D473" s="1975"/>
      <c r="E473" s="1975"/>
      <c r="F473" s="1975"/>
      <c r="G473" s="1975"/>
      <c r="H473" s="1975"/>
      <c r="I473" s="1975"/>
      <c r="J473" s="1975"/>
      <c r="K473" s="1975"/>
      <c r="L473" s="1975"/>
      <c r="M473" s="1975"/>
      <c r="N473" s="1975"/>
      <c r="O473" s="1975"/>
      <c r="P473" s="1975"/>
      <c r="Q473" s="1975"/>
      <c r="R473" s="1975"/>
      <c r="S473" s="1975"/>
      <c r="T473" s="1975"/>
      <c r="U473" s="1975"/>
      <c r="V473" s="1975"/>
      <c r="W473" s="1975"/>
      <c r="X473" s="1975"/>
      <c r="Y473" s="1975"/>
      <c r="Z473" s="1975"/>
      <c r="AA473" s="1975"/>
      <c r="AB473" s="1975"/>
      <c r="AC473" s="1975"/>
      <c r="AD473" s="1975"/>
      <c r="AE473" s="1975"/>
      <c r="AF473" s="1975"/>
      <c r="AG473" s="1975"/>
      <c r="AH473" s="1975"/>
      <c r="AI473" s="1975"/>
      <c r="AJ473" s="1975"/>
      <c r="AK473" s="1975"/>
      <c r="AL473" s="19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976"/>
      <c r="B474" s="1976"/>
      <c r="C474" s="1976"/>
      <c r="D474" s="1976"/>
      <c r="E474" s="1976"/>
      <c r="F474" s="1976"/>
      <c r="G474" s="1976"/>
      <c r="H474" s="1976"/>
      <c r="I474" s="1976"/>
      <c r="J474" s="1976"/>
      <c r="K474" s="1976"/>
      <c r="L474" s="1976"/>
      <c r="M474" s="1976"/>
      <c r="N474" s="1976"/>
      <c r="O474" s="1976"/>
      <c r="P474" s="1976"/>
      <c r="Q474" s="1976"/>
      <c r="R474" s="1976"/>
      <c r="S474" s="1976"/>
      <c r="T474" s="1976"/>
      <c r="U474" s="1976"/>
      <c r="V474" s="1976"/>
      <c r="W474" s="1976"/>
      <c r="X474" s="1976"/>
      <c r="Y474" s="1976"/>
      <c r="Z474" s="1976"/>
      <c r="AA474" s="1976"/>
      <c r="AB474" s="1976"/>
      <c r="AC474" s="1976"/>
      <c r="AD474" s="1976"/>
      <c r="AE474" s="1976"/>
      <c r="AF474" s="1976"/>
      <c r="AG474" s="1976"/>
      <c r="AH474" s="1976"/>
      <c r="AI474" s="1976"/>
      <c r="AJ474" s="1976"/>
      <c r="AK474" s="1976"/>
      <c r="AL474" s="197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822" t="s">
        <v>1142</v>
      </c>
      <c r="U478" s="1823"/>
      <c r="V478" s="1823"/>
      <c r="W478" s="1823"/>
      <c r="X478" s="1823"/>
      <c r="Y478" s="1823"/>
      <c r="Z478" s="1823"/>
      <c r="AA478" s="1823"/>
      <c r="AB478" s="1823"/>
      <c r="AC478" s="1823"/>
      <c r="AD478" s="1823"/>
      <c r="AE478" s="1823"/>
      <c r="AF478" s="1823"/>
      <c r="AG478" s="1823"/>
      <c r="AH478" s="182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851" t="s">
        <v>873</v>
      </c>
      <c r="U479" s="1851"/>
      <c r="V479" s="1851"/>
      <c r="W479" s="1851"/>
      <c r="X479" s="1851"/>
      <c r="Y479" s="1851" t="s">
        <v>874</v>
      </c>
      <c r="Z479" s="1851"/>
      <c r="AA479" s="1851"/>
      <c r="AB479" s="1851"/>
      <c r="AC479" s="1851"/>
      <c r="AD479" s="1851" t="s">
        <v>934</v>
      </c>
      <c r="AE479" s="1851"/>
      <c r="AF479" s="1851"/>
      <c r="AG479" s="1851"/>
      <c r="AH479" s="18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851"/>
      <c r="U480" s="1851"/>
      <c r="V480" s="1851"/>
      <c r="W480" s="1851"/>
      <c r="X480" s="1851"/>
      <c r="Y480" s="1851"/>
      <c r="Z480" s="1851"/>
      <c r="AA480" s="1851"/>
      <c r="AB480" s="1851"/>
      <c r="AC480" s="1851"/>
      <c r="AD480" s="1851"/>
      <c r="AE480" s="1851"/>
      <c r="AF480" s="1851"/>
      <c r="AG480" s="1851"/>
      <c r="AH480" s="185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793" t="s">
        <v>2488</v>
      </c>
      <c r="U481" s="1793"/>
      <c r="V481" s="1793"/>
      <c r="W481" s="1793"/>
      <c r="X481" s="1793"/>
      <c r="Y481" s="1793" t="s">
        <v>2488</v>
      </c>
      <c r="Z481" s="1793"/>
      <c r="AA481" s="1793"/>
      <c r="AB481" s="1793"/>
      <c r="AC481" s="1793"/>
      <c r="AD481" s="1793" t="s">
        <v>2488</v>
      </c>
      <c r="AE481" s="1793"/>
      <c r="AF481" s="1793"/>
      <c r="AG481" s="1793"/>
      <c r="AH481" s="179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793"/>
      <c r="U482" s="1793"/>
      <c r="V482" s="1793"/>
      <c r="W482" s="1793"/>
      <c r="X482" s="1793"/>
      <c r="Y482" s="1793">
        <v>44470</v>
      </c>
      <c r="Z482" s="1793"/>
      <c r="AA482" s="1793"/>
      <c r="AB482" s="1793"/>
      <c r="AC482" s="1793"/>
      <c r="AD482" s="1793">
        <v>0</v>
      </c>
      <c r="AE482" s="1793"/>
      <c r="AF482" s="1793"/>
      <c r="AG482" s="1793"/>
      <c r="AH482" s="179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793" t="s">
        <v>2488</v>
      </c>
      <c r="U483" s="1793"/>
      <c r="V483" s="1793"/>
      <c r="W483" s="1793"/>
      <c r="X483" s="1793"/>
      <c r="Y483" s="1793" t="s">
        <v>2488</v>
      </c>
      <c r="Z483" s="1793"/>
      <c r="AA483" s="1793"/>
      <c r="AB483" s="1793"/>
      <c r="AC483" s="1793"/>
      <c r="AD483" s="1793" t="s">
        <v>2488</v>
      </c>
      <c r="AE483" s="1793"/>
      <c r="AF483" s="1793"/>
      <c r="AG483" s="1793"/>
      <c r="AH483" s="179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793" t="s">
        <v>2488</v>
      </c>
      <c r="U484" s="1793"/>
      <c r="V484" s="1793"/>
      <c r="W484" s="1793"/>
      <c r="X484" s="1793"/>
      <c r="Y484" s="1793" t="s">
        <v>2488</v>
      </c>
      <c r="Z484" s="1793"/>
      <c r="AA484" s="1793"/>
      <c r="AB484" s="1793"/>
      <c r="AC484" s="1793"/>
      <c r="AD484" s="1793" t="s">
        <v>2488</v>
      </c>
      <c r="AE484" s="1793"/>
      <c r="AF484" s="1793"/>
      <c r="AG484" s="1793"/>
      <c r="AH484" s="179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793" t="s">
        <v>2488</v>
      </c>
      <c r="U485" s="1793"/>
      <c r="V485" s="1793"/>
      <c r="W485" s="1793"/>
      <c r="X485" s="1793"/>
      <c r="Y485" s="1793" t="s">
        <v>2488</v>
      </c>
      <c r="Z485" s="1793"/>
      <c r="AA485" s="1793"/>
      <c r="AB485" s="1793"/>
      <c r="AC485" s="1793"/>
      <c r="AD485" s="1793" t="s">
        <v>2488</v>
      </c>
      <c r="AE485" s="1793"/>
      <c r="AF485" s="1793"/>
      <c r="AG485" s="1793"/>
      <c r="AH485" s="179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793" t="s">
        <v>2488</v>
      </c>
      <c r="U486" s="1793"/>
      <c r="V486" s="1793"/>
      <c r="W486" s="1793"/>
      <c r="X486" s="1793"/>
      <c r="Y486" s="1793" t="s">
        <v>2488</v>
      </c>
      <c r="Z486" s="1793"/>
      <c r="AA486" s="1793"/>
      <c r="AB486" s="1793"/>
      <c r="AC486" s="1793"/>
      <c r="AD486" s="1793" t="s">
        <v>2488</v>
      </c>
      <c r="AE486" s="1793"/>
      <c r="AF486" s="1793"/>
      <c r="AG486" s="1793"/>
      <c r="AH486" s="179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793" t="s">
        <v>2488</v>
      </c>
      <c r="U487" s="1793"/>
      <c r="V487" s="1793"/>
      <c r="W487" s="1793"/>
      <c r="X487" s="1793"/>
      <c r="Y487" s="1793" t="s">
        <v>2488</v>
      </c>
      <c r="Z487" s="1793"/>
      <c r="AA487" s="1793"/>
      <c r="AB487" s="1793"/>
      <c r="AC487" s="1793"/>
      <c r="AD487" s="1793" t="s">
        <v>2488</v>
      </c>
      <c r="AE487" s="1793"/>
      <c r="AF487" s="1793"/>
      <c r="AG487" s="1793"/>
      <c r="AH487" s="179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793" t="s">
        <v>2488</v>
      </c>
      <c r="U488" s="1793"/>
      <c r="V488" s="1793"/>
      <c r="W488" s="1793"/>
      <c r="X488" s="1793"/>
      <c r="Y488" s="1793" t="s">
        <v>2488</v>
      </c>
      <c r="Z488" s="1793"/>
      <c r="AA488" s="1793"/>
      <c r="AB488" s="1793"/>
      <c r="AC488" s="1793"/>
      <c r="AD488" s="1793" t="s">
        <v>2488</v>
      </c>
      <c r="AE488" s="1793"/>
      <c r="AF488" s="1793"/>
      <c r="AG488" s="1793"/>
      <c r="AH488" s="179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793" t="s">
        <v>2488</v>
      </c>
      <c r="U489" s="1793"/>
      <c r="V489" s="1793"/>
      <c r="W489" s="1793"/>
      <c r="X489" s="1793"/>
      <c r="Y489" s="1793" t="s">
        <v>2488</v>
      </c>
      <c r="Z489" s="1793"/>
      <c r="AA489" s="1793"/>
      <c r="AB489" s="1793"/>
      <c r="AC489" s="1793"/>
      <c r="AD489" s="1793" t="s">
        <v>2488</v>
      </c>
      <c r="AE489" s="1793"/>
      <c r="AF489" s="1793"/>
      <c r="AG489" s="1793"/>
      <c r="AH489" s="179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1423</v>
      </c>
      <c r="F490" s="94"/>
      <c r="G490" s="94"/>
      <c r="H490" s="94"/>
      <c r="I490" s="94"/>
      <c r="J490" s="94"/>
      <c r="K490" s="94"/>
      <c r="L490" s="94"/>
      <c r="M490" s="94"/>
      <c r="N490" s="94"/>
      <c r="O490" s="94"/>
      <c r="P490" s="94"/>
      <c r="Q490" s="94"/>
      <c r="R490" s="94"/>
      <c r="S490" s="94"/>
      <c r="T490" s="1793">
        <v>42543</v>
      </c>
      <c r="U490" s="1793"/>
      <c r="V490" s="1793"/>
      <c r="W490" s="1793"/>
      <c r="X490" s="1793"/>
      <c r="Y490" s="1793">
        <v>0</v>
      </c>
      <c r="Z490" s="1793"/>
      <c r="AA490" s="1793"/>
      <c r="AB490" s="1793"/>
      <c r="AC490" s="1793"/>
      <c r="AD490" s="1793">
        <v>42543</v>
      </c>
      <c r="AE490" s="1793"/>
      <c r="AF490" s="1793"/>
      <c r="AG490" s="1793"/>
      <c r="AH490" s="179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822" t="s">
        <v>266</v>
      </c>
      <c r="R492" s="1823"/>
      <c r="S492" s="1823"/>
      <c r="T492" s="1823"/>
      <c r="U492" s="1823"/>
      <c r="V492" s="1823"/>
      <c r="W492" s="1823"/>
      <c r="X492" s="1823"/>
      <c r="Y492" s="1823"/>
      <c r="Z492" s="1823"/>
      <c r="AA492" s="1823"/>
      <c r="AB492" s="1823"/>
      <c r="AC492" s="1823"/>
      <c r="AD492" s="1823"/>
      <c r="AE492" s="1823"/>
      <c r="AF492" s="1823"/>
      <c r="AG492" s="1823"/>
      <c r="AH492" s="1823"/>
      <c r="AI492" s="1823"/>
      <c r="AJ492" s="1823"/>
      <c r="AK492" s="182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794" t="s">
        <v>2503</v>
      </c>
      <c r="R493" s="1705"/>
      <c r="S493" s="1705"/>
      <c r="T493" s="1705"/>
      <c r="U493" s="1705"/>
      <c r="V493" s="1705"/>
      <c r="W493" s="1705"/>
      <c r="X493" s="1705"/>
      <c r="Y493" s="1705"/>
      <c r="Z493" s="1705"/>
      <c r="AA493" s="1705"/>
      <c r="AB493" s="1705"/>
      <c r="AC493" s="1705"/>
      <c r="AD493" s="1705"/>
      <c r="AE493" s="1705"/>
      <c r="AF493" s="1705"/>
      <c r="AG493" s="1705"/>
      <c r="AH493" s="1705"/>
      <c r="AI493" s="1705"/>
      <c r="AJ493" s="1705"/>
      <c r="AK493" s="179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794" t="s">
        <v>2502</v>
      </c>
      <c r="R494" s="1705"/>
      <c r="S494" s="1705"/>
      <c r="T494" s="1705"/>
      <c r="U494" s="1705"/>
      <c r="V494" s="1705"/>
      <c r="W494" s="1705"/>
      <c r="X494" s="1705"/>
      <c r="Y494" s="1705"/>
      <c r="Z494" s="1705"/>
      <c r="AA494" s="1705"/>
      <c r="AB494" s="1705"/>
      <c r="AC494" s="1705"/>
      <c r="AD494" s="1705"/>
      <c r="AE494" s="1705"/>
      <c r="AF494" s="1705"/>
      <c r="AG494" s="1705"/>
      <c r="AH494" s="1705"/>
      <c r="AI494" s="1705"/>
      <c r="AJ494" s="1705"/>
      <c r="AK494" s="179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811"/>
      <c r="R495" s="1705"/>
      <c r="S495" s="1705"/>
      <c r="T495" s="1705"/>
      <c r="U495" s="1705"/>
      <c r="V495" s="1705"/>
      <c r="W495" s="1705"/>
      <c r="X495" s="1705"/>
      <c r="Y495" s="1705"/>
      <c r="Z495" s="1705"/>
      <c r="AA495" s="1705"/>
      <c r="AB495" s="1705"/>
      <c r="AC495" s="1705"/>
      <c r="AD495" s="1705"/>
      <c r="AE495" s="1705"/>
      <c r="AF495" s="1705"/>
      <c r="AG495" s="1705"/>
      <c r="AH495" s="1705"/>
      <c r="AI495" s="1705"/>
      <c r="AJ495" s="1705"/>
      <c r="AK495" s="179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838" t="s">
        <v>270</v>
      </c>
      <c r="C496" s="1839"/>
      <c r="D496" s="1839"/>
      <c r="E496" s="1839"/>
      <c r="F496" s="1839"/>
      <c r="G496" s="1839"/>
      <c r="H496" s="1839"/>
      <c r="I496" s="1839"/>
      <c r="J496" s="1839"/>
      <c r="K496" s="1839"/>
      <c r="L496" s="1839"/>
      <c r="M496" s="1839"/>
      <c r="N496" s="1839"/>
      <c r="O496" s="1839"/>
      <c r="P496" s="1840"/>
      <c r="Q496" s="1798" t="s">
        <v>531</v>
      </c>
      <c r="R496" s="1799"/>
      <c r="S496" s="1802" t="s">
        <v>58</v>
      </c>
      <c r="T496" s="1803"/>
      <c r="U496" s="1803"/>
      <c r="V496" s="1803"/>
      <c r="W496" s="1803"/>
      <c r="X496" s="1803"/>
      <c r="Y496" s="1803"/>
      <c r="Z496" s="1803"/>
      <c r="AA496" s="1803"/>
      <c r="AB496" s="1803"/>
      <c r="AC496" s="1803"/>
      <c r="AD496" s="1803"/>
      <c r="AE496" s="1803"/>
      <c r="AF496" s="1803"/>
      <c r="AG496" s="1803"/>
      <c r="AH496" s="1803"/>
      <c r="AI496" s="1803"/>
      <c r="AJ496" s="1803"/>
      <c r="AK496" s="180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841"/>
      <c r="C497" s="1842"/>
      <c r="D497" s="1842"/>
      <c r="E497" s="1842"/>
      <c r="F497" s="1842"/>
      <c r="G497" s="1842"/>
      <c r="H497" s="1842"/>
      <c r="I497" s="1842"/>
      <c r="J497" s="1842"/>
      <c r="K497" s="1842"/>
      <c r="L497" s="1842"/>
      <c r="M497" s="1842"/>
      <c r="N497" s="1842"/>
      <c r="O497" s="1842"/>
      <c r="P497" s="1843"/>
      <c r="Q497" s="1800"/>
      <c r="R497" s="1801"/>
      <c r="S497" s="1805"/>
      <c r="T497" s="1806"/>
      <c r="U497" s="1806"/>
      <c r="V497" s="1806"/>
      <c r="W497" s="1806"/>
      <c r="X497" s="1806"/>
      <c r="Y497" s="1806"/>
      <c r="Z497" s="1806"/>
      <c r="AA497" s="1806"/>
      <c r="AB497" s="1806"/>
      <c r="AC497" s="1806"/>
      <c r="AD497" s="1806"/>
      <c r="AE497" s="1806"/>
      <c r="AF497" s="1806"/>
      <c r="AG497" s="1806"/>
      <c r="AH497" s="1806"/>
      <c r="AI497" s="1806"/>
      <c r="AJ497" s="1806"/>
      <c r="AK497" s="180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28" t="s">
        <v>2281</v>
      </c>
      <c r="C498" s="1393"/>
      <c r="D498" s="1393"/>
      <c r="E498" s="1393"/>
      <c r="F498" s="1393"/>
      <c r="G498" s="1393"/>
      <c r="H498" s="1393"/>
      <c r="I498" s="1393"/>
      <c r="J498" s="1393"/>
      <c r="K498" s="1393"/>
      <c r="L498" s="1393"/>
      <c r="M498" s="1393"/>
      <c r="N498" s="1393"/>
      <c r="O498" s="1393"/>
      <c r="P498" s="1393"/>
      <c r="Q498" s="1808" t="s">
        <v>531</v>
      </c>
      <c r="R498" s="1809"/>
      <c r="S498" s="1809"/>
      <c r="T498" s="1809"/>
      <c r="U498" s="1809"/>
      <c r="V498" s="1809"/>
      <c r="W498" s="1809"/>
      <c r="X498" s="1809"/>
      <c r="Y498" s="1809"/>
      <c r="Z498" s="1809"/>
      <c r="AA498" s="1809"/>
      <c r="AB498" s="1809"/>
      <c r="AC498" s="1809"/>
      <c r="AD498" s="1809"/>
      <c r="AE498" s="1809"/>
      <c r="AF498" s="1809"/>
      <c r="AG498" s="1809"/>
      <c r="AH498" s="1809"/>
      <c r="AI498" s="1809"/>
      <c r="AJ498" s="1809"/>
      <c r="AK498" s="181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794" t="s">
        <v>2390</v>
      </c>
      <c r="R499" s="1705"/>
      <c r="S499" s="1705"/>
      <c r="T499" s="1705"/>
      <c r="U499" s="1705"/>
      <c r="V499" s="1705"/>
      <c r="W499" s="1705"/>
      <c r="X499" s="1705"/>
      <c r="Y499" s="1705"/>
      <c r="Z499" s="1705"/>
      <c r="AA499" s="1705"/>
      <c r="AB499" s="1705"/>
      <c r="AC499" s="1705"/>
      <c r="AD499" s="1705"/>
      <c r="AE499" s="1705"/>
      <c r="AF499" s="1705"/>
      <c r="AG499" s="1705"/>
      <c r="AH499" s="1705"/>
      <c r="AI499" s="1705"/>
      <c r="AJ499" s="1705"/>
      <c r="AK499" s="179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811">
        <f>63*0.5</f>
        <v>31.5</v>
      </c>
      <c r="R500" s="1705"/>
      <c r="S500" s="1705"/>
      <c r="T500" s="1705"/>
      <c r="U500" s="1705"/>
      <c r="V500" s="1705"/>
      <c r="W500" s="1705"/>
      <c r="X500" s="1705"/>
      <c r="Y500" s="1705"/>
      <c r="Z500" s="1705"/>
      <c r="AA500" s="1705"/>
      <c r="AB500" s="1705"/>
      <c r="AC500" s="1705"/>
      <c r="AD500" s="1705"/>
      <c r="AE500" s="1705"/>
      <c r="AF500" s="1705"/>
      <c r="AG500" s="1705"/>
      <c r="AH500" s="1705"/>
      <c r="AI500" s="1705"/>
      <c r="AJ500" s="1705"/>
      <c r="AK500" s="179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2282</v>
      </c>
      <c r="C501" s="91"/>
      <c r="D501" s="91"/>
      <c r="E501" s="91"/>
      <c r="F501" s="91"/>
      <c r="G501" s="91"/>
      <c r="H501" s="91"/>
      <c r="I501" s="91"/>
      <c r="J501" s="91"/>
      <c r="K501" s="91"/>
      <c r="L501" s="91"/>
      <c r="M501" s="91"/>
      <c r="N501" s="91"/>
      <c r="O501" s="91"/>
      <c r="P501" s="91"/>
      <c r="Q501" s="1811">
        <f>41+17</f>
        <v>58</v>
      </c>
      <c r="R501" s="1705"/>
      <c r="S501" s="1705"/>
      <c r="T501" s="1705"/>
      <c r="U501" s="1705"/>
      <c r="V501" s="1705"/>
      <c r="W501" s="1705"/>
      <c r="X501" s="1705"/>
      <c r="Y501" s="1705"/>
      <c r="Z501" s="1705"/>
      <c r="AA501" s="1705"/>
      <c r="AB501" s="1705"/>
      <c r="AC501" s="1705"/>
      <c r="AD501" s="1705"/>
      <c r="AE501" s="1705"/>
      <c r="AF501" s="1705"/>
      <c r="AG501" s="1705"/>
      <c r="AH501" s="1705"/>
      <c r="AI501" s="1705"/>
      <c r="AJ501" s="1705"/>
      <c r="AK501" s="179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2283</v>
      </c>
      <c r="C502" s="91"/>
      <c r="D502" s="91"/>
      <c r="E502" s="91"/>
      <c r="F502" s="91"/>
      <c r="G502" s="91"/>
      <c r="H502" s="91"/>
      <c r="I502" s="91"/>
      <c r="J502" s="91"/>
      <c r="K502" s="91"/>
      <c r="L502" s="91"/>
      <c r="M502" s="1720">
        <v>58</v>
      </c>
      <c r="N502" s="1721"/>
      <c r="O502" s="1721"/>
      <c r="P502" s="1722"/>
      <c r="Q502" s="1429" t="s">
        <v>2284</v>
      </c>
      <c r="R502" s="1430"/>
      <c r="S502" s="1430"/>
      <c r="T502" s="1430"/>
      <c r="U502" s="1430"/>
      <c r="V502" s="1430"/>
      <c r="W502" s="1430"/>
      <c r="X502" s="1430"/>
      <c r="Y502" s="1430"/>
      <c r="Z502" s="1430"/>
      <c r="AA502" s="1430"/>
      <c r="AB502" s="1430"/>
      <c r="AC502" s="1430"/>
      <c r="AD502" s="1430"/>
      <c r="AE502" s="1430"/>
      <c r="AF502" s="1430"/>
      <c r="AG502" s="1430"/>
      <c r="AH502" s="1720">
        <v>0</v>
      </c>
      <c r="AI502" s="1721"/>
      <c r="AJ502" s="1721"/>
      <c r="AK502" s="172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22" t="s">
        <v>274</v>
      </c>
      <c r="AD506" s="1823"/>
      <c r="AE506" s="1823"/>
      <c r="AF506" s="1823"/>
      <c r="AG506" s="1823"/>
      <c r="AH506" s="1823"/>
      <c r="AI506" s="1823"/>
      <c r="AJ506" s="1823"/>
      <c r="AK506" s="182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862" t="s">
        <v>275</v>
      </c>
      <c r="AD507" s="1863"/>
      <c r="AE507" s="1863"/>
      <c r="AF507" s="1863"/>
      <c r="AG507" s="96" t="s">
        <v>276</v>
      </c>
      <c r="AH507" s="1863" t="s">
        <v>277</v>
      </c>
      <c r="AI507" s="1863"/>
      <c r="AJ507" s="1863"/>
      <c r="AK507" s="194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758" t="s">
        <v>278</v>
      </c>
      <c r="C508" s="1759"/>
      <c r="D508" s="1759"/>
      <c r="E508" s="1759"/>
      <c r="F508" s="1759"/>
      <c r="G508" s="1759"/>
      <c r="H508" s="1760"/>
      <c r="I508" s="86" t="s">
        <v>737</v>
      </c>
      <c r="J508" s="86"/>
      <c r="K508" s="86"/>
      <c r="L508" s="86"/>
      <c r="M508" s="86"/>
      <c r="N508" s="86"/>
      <c r="O508" s="86"/>
      <c r="P508" s="86"/>
      <c r="Q508" s="86"/>
      <c r="R508" s="86"/>
      <c r="S508" s="86"/>
      <c r="T508" s="86"/>
      <c r="U508" s="86"/>
      <c r="V508" s="86"/>
      <c r="W508" s="86"/>
      <c r="X508" s="35"/>
      <c r="Y508" s="35"/>
      <c r="AC508" s="1756" t="s">
        <v>136</v>
      </c>
      <c r="AD508" s="1757"/>
      <c r="AE508" s="1757"/>
      <c r="AF508" s="1757"/>
      <c r="AG508" s="89" t="s">
        <v>276</v>
      </c>
      <c r="AH508" s="1664">
        <v>0</v>
      </c>
      <c r="AI508" s="1664"/>
      <c r="AJ508" s="1664"/>
      <c r="AK508" s="166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761"/>
      <c r="C509" s="1762"/>
      <c r="D509" s="1762"/>
      <c r="E509" s="1762"/>
      <c r="F509" s="1762"/>
      <c r="G509" s="1762"/>
      <c r="H509" s="1763"/>
      <c r="I509" s="94" t="s">
        <v>738</v>
      </c>
      <c r="J509" s="94"/>
      <c r="K509" s="94"/>
      <c r="L509" s="94"/>
      <c r="M509" s="94"/>
      <c r="N509" s="94"/>
      <c r="O509" s="94"/>
      <c r="P509" s="94"/>
      <c r="Q509" s="94"/>
      <c r="R509" s="94"/>
      <c r="S509" s="94"/>
      <c r="T509" s="94"/>
      <c r="U509" s="94"/>
      <c r="V509" s="94"/>
      <c r="W509" s="94"/>
      <c r="X509" s="94"/>
      <c r="Y509" s="94"/>
      <c r="Z509" s="94"/>
      <c r="AA509" s="94"/>
      <c r="AB509" s="94"/>
      <c r="AC509" s="1756">
        <v>11</v>
      </c>
      <c r="AD509" s="1757"/>
      <c r="AE509" s="1757"/>
      <c r="AF509" s="1757"/>
      <c r="AG509" s="79" t="s">
        <v>276</v>
      </c>
      <c r="AH509" s="1664">
        <v>2020</v>
      </c>
      <c r="AI509" s="1664"/>
      <c r="AJ509" s="1664"/>
      <c r="AK509" s="166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758" t="s">
        <v>739</v>
      </c>
      <c r="C510" s="1759"/>
      <c r="D510" s="1759"/>
      <c r="E510" s="1759"/>
      <c r="F510" s="1759"/>
      <c r="G510" s="1759"/>
      <c r="H510" s="1760"/>
      <c r="I510" s="86" t="s">
        <v>740</v>
      </c>
      <c r="J510" s="86"/>
      <c r="K510" s="86"/>
      <c r="L510" s="86"/>
      <c r="M510" s="86"/>
      <c r="N510" s="86"/>
      <c r="O510" s="86"/>
      <c r="P510" s="86"/>
      <c r="Q510" s="86"/>
      <c r="R510" s="86"/>
      <c r="S510" s="86"/>
      <c r="T510" s="86"/>
      <c r="U510" s="86"/>
      <c r="V510" s="86"/>
      <c r="W510" s="86"/>
      <c r="X510" s="35"/>
      <c r="Y510" s="35"/>
      <c r="AC510" s="1756" t="s">
        <v>136</v>
      </c>
      <c r="AD510" s="1757"/>
      <c r="AE510" s="1757"/>
      <c r="AF510" s="1757"/>
      <c r="AG510" s="89" t="s">
        <v>276</v>
      </c>
      <c r="AH510" s="1664"/>
      <c r="AI510" s="1664"/>
      <c r="AJ510" s="1664"/>
      <c r="AK510" s="166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761"/>
      <c r="C511" s="1762"/>
      <c r="D511" s="1762"/>
      <c r="E511" s="1762"/>
      <c r="F511" s="1762"/>
      <c r="G511" s="1762"/>
      <c r="H511" s="1763"/>
      <c r="I511" s="35" t="s">
        <v>741</v>
      </c>
      <c r="J511" s="35"/>
      <c r="K511" s="35"/>
      <c r="L511" s="35"/>
      <c r="M511" s="35"/>
      <c r="N511" s="35"/>
      <c r="O511" s="35"/>
      <c r="P511" s="35"/>
      <c r="Q511" s="35"/>
      <c r="R511" s="35"/>
      <c r="S511" s="35"/>
      <c r="T511" s="35"/>
      <c r="U511" s="35"/>
      <c r="V511" s="35"/>
      <c r="W511" s="35"/>
      <c r="X511" s="35"/>
      <c r="Y511" s="35"/>
      <c r="AC511" s="1756" t="s">
        <v>136</v>
      </c>
      <c r="AD511" s="1757"/>
      <c r="AE511" s="1757"/>
      <c r="AF511" s="1757"/>
      <c r="AG511" s="89" t="s">
        <v>276</v>
      </c>
      <c r="AH511" s="1664"/>
      <c r="AI511" s="1664"/>
      <c r="AJ511" s="1664"/>
      <c r="AK511" s="166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761"/>
      <c r="C512" s="1762"/>
      <c r="D512" s="1762"/>
      <c r="E512" s="1762"/>
      <c r="F512" s="1762"/>
      <c r="G512" s="1762"/>
      <c r="H512" s="1763"/>
      <c r="I512" s="35" t="s">
        <v>742</v>
      </c>
      <c r="J512" s="35"/>
      <c r="K512" s="35"/>
      <c r="L512" s="35"/>
      <c r="M512" s="35"/>
      <c r="N512" s="35"/>
      <c r="O512" s="35"/>
      <c r="P512" s="35"/>
      <c r="Q512" s="35"/>
      <c r="R512" s="35"/>
      <c r="S512" s="35"/>
      <c r="T512" s="35"/>
      <c r="U512" s="35"/>
      <c r="V512" s="35"/>
      <c r="W512" s="35"/>
      <c r="X512" s="35"/>
      <c r="Y512" s="35"/>
      <c r="AC512" s="1756">
        <v>6</v>
      </c>
      <c r="AD512" s="1757"/>
      <c r="AE512" s="1757"/>
      <c r="AF512" s="1757"/>
      <c r="AG512" s="89" t="s">
        <v>276</v>
      </c>
      <c r="AH512" s="1664">
        <v>2016</v>
      </c>
      <c r="AI512" s="1664"/>
      <c r="AJ512" s="1664"/>
      <c r="AK512" s="166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761"/>
      <c r="C513" s="1762"/>
      <c r="D513" s="1762"/>
      <c r="E513" s="1762"/>
      <c r="F513" s="1762"/>
      <c r="G513" s="1762"/>
      <c r="H513" s="1763"/>
      <c r="I513" s="35" t="s">
        <v>743</v>
      </c>
      <c r="J513" s="35"/>
      <c r="K513" s="35"/>
      <c r="L513" s="35"/>
      <c r="M513" s="35"/>
      <c r="N513" s="35"/>
      <c r="O513" s="35"/>
      <c r="P513" s="35"/>
      <c r="Q513" s="35"/>
      <c r="R513" s="35"/>
      <c r="S513" s="35"/>
      <c r="T513" s="35"/>
      <c r="U513" s="35"/>
      <c r="V513" s="35"/>
      <c r="W513" s="35"/>
      <c r="X513" s="35"/>
      <c r="Y513" s="35"/>
      <c r="AC513" s="1756" t="s">
        <v>136</v>
      </c>
      <c r="AD513" s="1757"/>
      <c r="AE513" s="1757"/>
      <c r="AF513" s="1757"/>
      <c r="AG513" s="89" t="s">
        <v>276</v>
      </c>
      <c r="AH513" s="1664"/>
      <c r="AI513" s="1664"/>
      <c r="AJ513" s="1664"/>
      <c r="AK513" s="166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761"/>
      <c r="C514" s="1762"/>
      <c r="D514" s="1762"/>
      <c r="E514" s="1762"/>
      <c r="F514" s="1762"/>
      <c r="G514" s="1762"/>
      <c r="H514" s="1763"/>
      <c r="I514" s="326" t="s">
        <v>744</v>
      </c>
      <c r="J514" s="35"/>
      <c r="K514" s="35"/>
      <c r="L514" s="35"/>
      <c r="M514" s="35"/>
      <c r="N514" s="35"/>
      <c r="O514" s="35"/>
      <c r="P514" s="35"/>
      <c r="Q514" s="35"/>
      <c r="R514" s="35"/>
      <c r="S514" s="35"/>
      <c r="T514" s="35"/>
      <c r="U514" s="35"/>
      <c r="V514" s="35"/>
      <c r="W514" s="35"/>
      <c r="X514" s="35"/>
      <c r="Y514" s="35"/>
      <c r="AC514" s="1646">
        <v>9</v>
      </c>
      <c r="AD514" s="1647"/>
      <c r="AE514" s="1647"/>
      <c r="AF514" s="1647"/>
      <c r="AG514" s="1395" t="s">
        <v>276</v>
      </c>
      <c r="AH514" s="1664">
        <v>2021</v>
      </c>
      <c r="AI514" s="1664"/>
      <c r="AJ514" s="1664"/>
      <c r="AK514" s="166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761"/>
      <c r="C515" s="1762"/>
      <c r="D515" s="1762"/>
      <c r="E515" s="1762"/>
      <c r="F515" s="1762"/>
      <c r="G515" s="1762"/>
      <c r="H515" s="1763"/>
      <c r="I515" s="646" t="s">
        <v>311</v>
      </c>
      <c r="J515" s="94"/>
      <c r="K515" s="94"/>
      <c r="L515" s="1844" t="s">
        <v>622</v>
      </c>
      <c r="M515" s="1773"/>
      <c r="N515" s="1773"/>
      <c r="O515" s="1773"/>
      <c r="P515" s="1773"/>
      <c r="Q515" s="1773"/>
      <c r="R515" s="1773"/>
      <c r="S515" s="1773"/>
      <c r="T515" s="1773"/>
      <c r="U515" s="1773"/>
      <c r="V515" s="1773"/>
      <c r="W515" s="1773"/>
      <c r="X515" s="1773"/>
      <c r="Y515" s="1773"/>
      <c r="Z515" s="1773"/>
      <c r="AA515" s="1773"/>
      <c r="AB515" s="1845"/>
      <c r="AC515" s="1846" t="s">
        <v>136</v>
      </c>
      <c r="AD515" s="1847"/>
      <c r="AE515" s="1847"/>
      <c r="AF515" s="1847"/>
      <c r="AG515" s="1391" t="s">
        <v>276</v>
      </c>
      <c r="AH515" s="1664"/>
      <c r="AI515" s="1664"/>
      <c r="AJ515" s="1664"/>
      <c r="AK515" s="166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761"/>
      <c r="C516" s="1762"/>
      <c r="D516" s="1762"/>
      <c r="E516" s="1762"/>
      <c r="F516" s="1762"/>
      <c r="G516" s="1762"/>
      <c r="H516" s="1763"/>
      <c r="I516" s="1102" t="s">
        <v>2285</v>
      </c>
      <c r="J516" s="35"/>
      <c r="K516" s="35"/>
      <c r="L516" s="35"/>
      <c r="M516" s="35"/>
      <c r="N516" s="35"/>
      <c r="O516" s="35"/>
      <c r="P516" s="35"/>
      <c r="Q516" s="35"/>
      <c r="R516" s="35"/>
      <c r="S516" s="35"/>
      <c r="T516" s="35"/>
      <c r="U516" s="35"/>
      <c r="V516" s="35"/>
      <c r="W516" s="35"/>
      <c r="X516" s="35"/>
      <c r="Y516" s="35"/>
      <c r="AC516" s="1848" t="s">
        <v>531</v>
      </c>
      <c r="AD516" s="1848"/>
      <c r="AE516" s="1848"/>
      <c r="AF516" s="1848"/>
      <c r="AG516" s="1395"/>
      <c r="AH516" s="1783"/>
      <c r="AI516" s="1783"/>
      <c r="AJ516" s="1783"/>
      <c r="AK516" s="178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761"/>
      <c r="C517" s="1762"/>
      <c r="D517" s="1762"/>
      <c r="E517" s="1762"/>
      <c r="F517" s="1762"/>
      <c r="G517" s="1762"/>
      <c r="H517" s="1763"/>
      <c r="I517" s="645" t="s">
        <v>2286</v>
      </c>
      <c r="J517" s="35"/>
      <c r="K517" s="35"/>
      <c r="L517" s="35"/>
      <c r="M517" s="35"/>
      <c r="N517" s="35"/>
      <c r="O517" s="35"/>
      <c r="P517" s="35"/>
      <c r="Q517" s="35"/>
      <c r="R517" s="35"/>
      <c r="S517" s="35"/>
      <c r="T517" s="35"/>
      <c r="U517" s="35"/>
      <c r="V517" s="35"/>
      <c r="W517" s="35"/>
      <c r="X517" s="35"/>
      <c r="Y517" s="35"/>
      <c r="AC517" s="1646"/>
      <c r="AD517" s="1647"/>
      <c r="AE517" s="1647"/>
      <c r="AF517" s="1648"/>
      <c r="AG517" s="1395"/>
      <c r="AH517" s="1783"/>
      <c r="AI517" s="1783"/>
      <c r="AJ517" s="1783"/>
      <c r="AK517" s="178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761"/>
      <c r="C518" s="1762"/>
      <c r="D518" s="1762"/>
      <c r="E518" s="1762"/>
      <c r="F518" s="1762"/>
      <c r="G518" s="1762"/>
      <c r="H518" s="1763"/>
      <c r="I518" s="645" t="s">
        <v>2287</v>
      </c>
      <c r="J518" s="35"/>
      <c r="K518" s="35"/>
      <c r="L518" s="35"/>
      <c r="M518" s="35"/>
      <c r="N518" s="35"/>
      <c r="O518" s="35"/>
      <c r="P518" s="35"/>
      <c r="Q518" s="35"/>
      <c r="R518" s="35"/>
      <c r="S518" s="35"/>
      <c r="T518" s="35"/>
      <c r="U518" s="35"/>
      <c r="V518" s="35"/>
      <c r="W518" s="35"/>
      <c r="X518" s="35"/>
      <c r="Y518" s="35"/>
      <c r="AC518" s="1431"/>
      <c r="AD518" s="1432"/>
      <c r="AE518" s="1432"/>
      <c r="AF518" s="1433"/>
      <c r="AG518" s="1394"/>
      <c r="AH518" s="1397"/>
      <c r="AI518" s="1397"/>
      <c r="AJ518" s="1397"/>
      <c r="AK518" s="143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761"/>
      <c r="C519" s="1762"/>
      <c r="D519" s="1762"/>
      <c r="E519" s="1762"/>
      <c r="F519" s="1762"/>
      <c r="G519" s="1762"/>
      <c r="H519" s="1763"/>
      <c r="I519" s="1435" t="s">
        <v>2288</v>
      </c>
      <c r="J519" s="94"/>
      <c r="K519" s="94"/>
      <c r="L519" s="94"/>
      <c r="M519" s="94"/>
      <c r="N519" s="94"/>
      <c r="O519" s="94"/>
      <c r="P519" s="94"/>
      <c r="Q519" s="94"/>
      <c r="R519" s="94"/>
      <c r="S519" s="94"/>
      <c r="T519" s="94"/>
      <c r="U519" s="94"/>
      <c r="V519" s="94"/>
      <c r="W519" s="94"/>
      <c r="X519" s="94"/>
      <c r="Y519" s="94"/>
      <c r="Z519" s="94"/>
      <c r="AA519" s="94"/>
      <c r="AB519" s="94"/>
      <c r="AC519" s="1785"/>
      <c r="AD519" s="1786"/>
      <c r="AE519" s="1786"/>
      <c r="AF519" s="1787"/>
      <c r="AG519" s="1391"/>
      <c r="AH519" s="1860"/>
      <c r="AI519" s="1860"/>
      <c r="AJ519" s="1860"/>
      <c r="AK519" s="186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758" t="s">
        <v>745</v>
      </c>
      <c r="C520" s="1759"/>
      <c r="D520" s="1759"/>
      <c r="E520" s="1759"/>
      <c r="F520" s="1759"/>
      <c r="G520" s="1759"/>
      <c r="H520" s="1760"/>
      <c r="I520" s="86" t="s">
        <v>746</v>
      </c>
      <c r="J520" s="86"/>
      <c r="K520" s="86"/>
      <c r="L520" s="86"/>
      <c r="M520" s="86"/>
      <c r="N520" s="86"/>
      <c r="O520" s="86"/>
      <c r="P520" s="86"/>
      <c r="Q520" s="86"/>
      <c r="R520" s="86"/>
      <c r="S520" s="86"/>
      <c r="T520" s="86"/>
      <c r="U520" s="86"/>
      <c r="V520" s="86"/>
      <c r="W520" s="86"/>
      <c r="X520" s="35"/>
      <c r="Y520" s="35"/>
      <c r="AC520" s="1756">
        <v>11</v>
      </c>
      <c r="AD520" s="1757"/>
      <c r="AE520" s="1757"/>
      <c r="AF520" s="1757"/>
      <c r="AG520" s="89" t="s">
        <v>276</v>
      </c>
      <c r="AH520" s="1664">
        <v>2020</v>
      </c>
      <c r="AI520" s="1664"/>
      <c r="AJ520" s="1664"/>
      <c r="AK520" s="166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761"/>
      <c r="C521" s="1762"/>
      <c r="D521" s="1762"/>
      <c r="E521" s="1762"/>
      <c r="F521" s="1762"/>
      <c r="G521" s="1762"/>
      <c r="H521" s="1763"/>
      <c r="I521" s="35" t="s">
        <v>747</v>
      </c>
      <c r="J521" s="35"/>
      <c r="K521" s="35"/>
      <c r="L521" s="35"/>
      <c r="M521" s="35"/>
      <c r="N521" s="35"/>
      <c r="O521" s="35"/>
      <c r="P521" s="35"/>
      <c r="Q521" s="35"/>
      <c r="R521" s="35"/>
      <c r="S521" s="35"/>
      <c r="T521" s="35"/>
      <c r="U521" s="35"/>
      <c r="V521" s="35"/>
      <c r="W521" s="35"/>
      <c r="X521" s="35"/>
      <c r="Y521" s="35"/>
      <c r="AC521" s="1756">
        <v>2</v>
      </c>
      <c r="AD521" s="1757"/>
      <c r="AE521" s="1757"/>
      <c r="AF521" s="1757"/>
      <c r="AG521" s="89" t="s">
        <v>276</v>
      </c>
      <c r="AH521" s="1664">
        <v>2021</v>
      </c>
      <c r="AI521" s="1664"/>
      <c r="AJ521" s="1664"/>
      <c r="AK521" s="166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761"/>
      <c r="C522" s="1762"/>
      <c r="D522" s="1762"/>
      <c r="E522" s="1762"/>
      <c r="F522" s="1762"/>
      <c r="G522" s="1762"/>
      <c r="H522" s="1763"/>
      <c r="I522" s="94" t="s">
        <v>748</v>
      </c>
      <c r="J522" s="94"/>
      <c r="K522" s="94"/>
      <c r="L522" s="94"/>
      <c r="M522" s="94"/>
      <c r="N522" s="94"/>
      <c r="O522" s="94"/>
      <c r="P522" s="94"/>
      <c r="Q522" s="94"/>
      <c r="R522" s="94"/>
      <c r="S522" s="94"/>
      <c r="T522" s="94"/>
      <c r="U522" s="94"/>
      <c r="V522" s="94"/>
      <c r="W522" s="94"/>
      <c r="X522" s="94"/>
      <c r="Y522" s="94"/>
      <c r="Z522" s="94"/>
      <c r="AA522" s="94"/>
      <c r="AB522" s="94"/>
      <c r="AC522" s="1756">
        <v>10</v>
      </c>
      <c r="AD522" s="1757"/>
      <c r="AE522" s="1757"/>
      <c r="AF522" s="1757"/>
      <c r="AG522" s="79" t="s">
        <v>276</v>
      </c>
      <c r="AH522" s="1664">
        <v>2021</v>
      </c>
      <c r="AI522" s="1664"/>
      <c r="AJ522" s="1664"/>
      <c r="AK522" s="166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758" t="s">
        <v>749</v>
      </c>
      <c r="C523" s="1759"/>
      <c r="D523" s="1759"/>
      <c r="E523" s="1759"/>
      <c r="F523" s="1759"/>
      <c r="G523" s="1759"/>
      <c r="H523" s="1760"/>
      <c r="I523" s="86" t="s">
        <v>746</v>
      </c>
      <c r="J523" s="86"/>
      <c r="K523" s="86"/>
      <c r="L523" s="86"/>
      <c r="M523" s="86"/>
      <c r="N523" s="86"/>
      <c r="O523" s="86"/>
      <c r="P523" s="86"/>
      <c r="Q523" s="86"/>
      <c r="R523" s="86"/>
      <c r="S523" s="86"/>
      <c r="T523" s="86"/>
      <c r="U523" s="86"/>
      <c r="V523" s="86"/>
      <c r="W523" s="86"/>
      <c r="X523" s="86"/>
      <c r="Y523" s="86"/>
      <c r="Z523" s="86"/>
      <c r="AA523" s="86"/>
      <c r="AB523" s="86"/>
      <c r="AC523" s="1767">
        <v>11</v>
      </c>
      <c r="AD523" s="1768"/>
      <c r="AE523" s="1768"/>
      <c r="AF523" s="1768"/>
      <c r="AG523" s="360" t="s">
        <v>276</v>
      </c>
      <c r="AH523" s="1664">
        <v>2020</v>
      </c>
      <c r="AI523" s="1664"/>
      <c r="AJ523" s="1664"/>
      <c r="AK523" s="166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761"/>
      <c r="C524" s="1762"/>
      <c r="D524" s="1762"/>
      <c r="E524" s="1762"/>
      <c r="F524" s="1762"/>
      <c r="G524" s="1762"/>
      <c r="H524" s="1763"/>
      <c r="I524" s="35" t="s">
        <v>747</v>
      </c>
      <c r="J524" s="35"/>
      <c r="K524" s="35"/>
      <c r="L524" s="35"/>
      <c r="M524" s="35"/>
      <c r="N524" s="35"/>
      <c r="O524" s="35"/>
      <c r="P524" s="35"/>
      <c r="Q524" s="35"/>
      <c r="R524" s="35"/>
      <c r="S524" s="35"/>
      <c r="T524" s="35"/>
      <c r="U524" s="35"/>
      <c r="V524" s="35"/>
      <c r="W524" s="35"/>
      <c r="X524" s="35"/>
      <c r="Y524" s="35"/>
      <c r="Z524" s="35"/>
      <c r="AA524" s="35"/>
      <c r="AB524" s="35"/>
      <c r="AC524" s="1756">
        <v>2</v>
      </c>
      <c r="AD524" s="1757"/>
      <c r="AE524" s="1757"/>
      <c r="AF524" s="1757"/>
      <c r="AG524" s="89" t="s">
        <v>276</v>
      </c>
      <c r="AH524" s="1664">
        <v>2021</v>
      </c>
      <c r="AI524" s="1664"/>
      <c r="AJ524" s="1664"/>
      <c r="AK524" s="166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764"/>
      <c r="C525" s="1765"/>
      <c r="D525" s="1765"/>
      <c r="E525" s="1765"/>
      <c r="F525" s="1765"/>
      <c r="G525" s="1765"/>
      <c r="H525" s="1766"/>
      <c r="I525" s="94" t="s">
        <v>748</v>
      </c>
      <c r="J525" s="94"/>
      <c r="K525" s="94"/>
      <c r="L525" s="94"/>
      <c r="M525" s="94"/>
      <c r="N525" s="94"/>
      <c r="O525" s="94"/>
      <c r="P525" s="94"/>
      <c r="Q525" s="94"/>
      <c r="R525" s="94"/>
      <c r="S525" s="94"/>
      <c r="T525" s="94"/>
      <c r="U525" s="94"/>
      <c r="V525" s="94"/>
      <c r="W525" s="94"/>
      <c r="X525" s="94"/>
      <c r="Y525" s="94"/>
      <c r="Z525" s="94"/>
      <c r="AA525" s="94"/>
      <c r="AB525" s="94"/>
      <c r="AC525" s="1756">
        <v>11</v>
      </c>
      <c r="AD525" s="1757"/>
      <c r="AE525" s="1757"/>
      <c r="AF525" s="1757"/>
      <c r="AG525" s="79" t="s">
        <v>276</v>
      </c>
      <c r="AH525" s="1664">
        <v>2023</v>
      </c>
      <c r="AI525" s="1664"/>
      <c r="AJ525" s="1664"/>
      <c r="AK525" s="166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758" t="s">
        <v>750</v>
      </c>
      <c r="C526" s="1759"/>
      <c r="D526" s="1759"/>
      <c r="E526" s="1759"/>
      <c r="F526" s="1759"/>
      <c r="G526" s="1759"/>
      <c r="H526" s="1760"/>
      <c r="I526" s="85" t="s">
        <v>751</v>
      </c>
      <c r="J526" s="86"/>
      <c r="K526" s="86"/>
      <c r="L526" s="86"/>
      <c r="M526" s="86"/>
      <c r="N526" s="86"/>
      <c r="O526" s="1697" t="s">
        <v>2481</v>
      </c>
      <c r="P526" s="1697"/>
      <c r="Q526" s="1697"/>
      <c r="R526" s="1697"/>
      <c r="S526" s="1697"/>
      <c r="T526" s="1697"/>
      <c r="U526" s="1697"/>
      <c r="V526" s="1697"/>
      <c r="W526" s="1697"/>
      <c r="X526" s="1697"/>
      <c r="Y526" s="1697"/>
      <c r="Z526" s="1697"/>
      <c r="AA526" s="1697"/>
      <c r="AB526" s="108"/>
      <c r="AC526" s="1767"/>
      <c r="AD526" s="1768"/>
      <c r="AE526" s="1768"/>
      <c r="AF526" s="1768"/>
      <c r="AG526" s="360" t="s">
        <v>276</v>
      </c>
      <c r="AH526" s="1664"/>
      <c r="AI526" s="1664"/>
      <c r="AJ526" s="1664"/>
      <c r="AK526" s="166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761"/>
      <c r="C527" s="1762"/>
      <c r="D527" s="1762"/>
      <c r="E527" s="1762"/>
      <c r="F527" s="1762"/>
      <c r="G527" s="1762"/>
      <c r="H527" s="1763"/>
      <c r="I527" s="317" t="s">
        <v>752</v>
      </c>
      <c r="J527" s="35"/>
      <c r="K527" s="35"/>
      <c r="L527" s="35"/>
      <c r="M527" s="35"/>
      <c r="N527" s="35"/>
      <c r="O527" s="35"/>
      <c r="P527" s="35"/>
      <c r="Q527" s="35"/>
      <c r="R527" s="35"/>
      <c r="S527" s="35"/>
      <c r="T527" s="35"/>
      <c r="U527" s="35"/>
      <c r="V527" s="35"/>
      <c r="W527" s="35"/>
      <c r="X527" s="35"/>
      <c r="Y527" s="35"/>
      <c r="Z527" s="35"/>
      <c r="AA527" s="35"/>
      <c r="AB527" s="115"/>
      <c r="AC527" s="1756">
        <v>11</v>
      </c>
      <c r="AD527" s="1757"/>
      <c r="AE527" s="1757"/>
      <c r="AF527" s="1757"/>
      <c r="AG527" s="89" t="s">
        <v>276</v>
      </c>
      <c r="AH527" s="1664">
        <v>2020</v>
      </c>
      <c r="AI527" s="1664"/>
      <c r="AJ527" s="1664"/>
      <c r="AK527" s="166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761"/>
      <c r="C528" s="1762"/>
      <c r="D528" s="1762"/>
      <c r="E528" s="1762"/>
      <c r="F528" s="1762"/>
      <c r="G528" s="1762"/>
      <c r="H528" s="1763"/>
      <c r="I528" s="93" t="s">
        <v>753</v>
      </c>
      <c r="J528" s="94"/>
      <c r="K528" s="94"/>
      <c r="L528" s="94"/>
      <c r="M528" s="94"/>
      <c r="N528" s="94"/>
      <c r="O528" s="94"/>
      <c r="P528" s="94"/>
      <c r="Q528" s="94"/>
      <c r="R528" s="94"/>
      <c r="S528" s="94"/>
      <c r="T528" s="94"/>
      <c r="U528" s="94"/>
      <c r="V528" s="94"/>
      <c r="W528" s="94"/>
      <c r="X528" s="94"/>
      <c r="Y528" s="94"/>
      <c r="Z528" s="94"/>
      <c r="AA528" s="94"/>
      <c r="AB528" s="95"/>
      <c r="AC528" s="1756">
        <v>10</v>
      </c>
      <c r="AD528" s="1757"/>
      <c r="AE528" s="1757"/>
      <c r="AF528" s="1757"/>
      <c r="AG528" s="79" t="s">
        <v>276</v>
      </c>
      <c r="AH528" s="1664">
        <v>2021</v>
      </c>
      <c r="AI528" s="1664"/>
      <c r="AJ528" s="1664"/>
      <c r="AK528" s="166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761"/>
      <c r="C529" s="1762"/>
      <c r="D529" s="1762"/>
      <c r="E529" s="1762"/>
      <c r="F529" s="1762"/>
      <c r="G529" s="1762"/>
      <c r="H529" s="1763"/>
      <c r="I529" s="86" t="s">
        <v>754</v>
      </c>
      <c r="J529" s="86"/>
      <c r="K529" s="86"/>
      <c r="L529" s="86"/>
      <c r="M529" s="86"/>
      <c r="N529" s="86"/>
      <c r="O529" s="1697" t="s">
        <v>2482</v>
      </c>
      <c r="P529" s="1697"/>
      <c r="Q529" s="1697"/>
      <c r="R529" s="1697"/>
      <c r="S529" s="1697"/>
      <c r="T529" s="1697"/>
      <c r="U529" s="1697"/>
      <c r="V529" s="1697"/>
      <c r="W529" s="1697"/>
      <c r="X529" s="1697"/>
      <c r="Y529" s="1697"/>
      <c r="Z529" s="1697"/>
      <c r="AA529" s="1697"/>
      <c r="AC529" s="1756"/>
      <c r="AD529" s="1757"/>
      <c r="AE529" s="1757"/>
      <c r="AF529" s="1757"/>
      <c r="AG529" s="89" t="s">
        <v>276</v>
      </c>
      <c r="AH529" s="1664"/>
      <c r="AI529" s="1664"/>
      <c r="AJ529" s="1664"/>
      <c r="AK529" s="166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761"/>
      <c r="C530" s="1762"/>
      <c r="D530" s="1762"/>
      <c r="E530" s="1762"/>
      <c r="F530" s="1762"/>
      <c r="G530" s="1762"/>
      <c r="H530" s="1763"/>
      <c r="I530" s="35" t="s">
        <v>752</v>
      </c>
      <c r="J530" s="35"/>
      <c r="K530" s="35"/>
      <c r="L530" s="35"/>
      <c r="M530" s="35"/>
      <c r="N530" s="35"/>
      <c r="O530" s="35"/>
      <c r="P530" s="35"/>
      <c r="Q530" s="35"/>
      <c r="R530" s="35"/>
      <c r="S530" s="35"/>
      <c r="T530" s="35"/>
      <c r="U530" s="35"/>
      <c r="V530" s="35"/>
      <c r="W530" s="35"/>
      <c r="X530" s="35"/>
      <c r="Y530" s="35"/>
      <c r="AC530" s="1756">
        <v>11</v>
      </c>
      <c r="AD530" s="1757"/>
      <c r="AE530" s="1757"/>
      <c r="AF530" s="1757"/>
      <c r="AG530" s="89" t="s">
        <v>276</v>
      </c>
      <c r="AH530" s="1664">
        <v>2020</v>
      </c>
      <c r="AI530" s="1664"/>
      <c r="AJ530" s="1664"/>
      <c r="AK530" s="166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761"/>
      <c r="C531" s="1762"/>
      <c r="D531" s="1762"/>
      <c r="E531" s="1762"/>
      <c r="F531" s="1762"/>
      <c r="G531" s="1762"/>
      <c r="H531" s="1763"/>
      <c r="I531" s="94" t="s">
        <v>753</v>
      </c>
      <c r="J531" s="94"/>
      <c r="K531" s="94"/>
      <c r="L531" s="94"/>
      <c r="M531" s="94"/>
      <c r="N531" s="94"/>
      <c r="O531" s="94"/>
      <c r="P531" s="94"/>
      <c r="Q531" s="94"/>
      <c r="R531" s="94"/>
      <c r="S531" s="94"/>
      <c r="T531" s="94"/>
      <c r="U531" s="94"/>
      <c r="V531" s="94"/>
      <c r="W531" s="94"/>
      <c r="X531" s="94"/>
      <c r="Y531" s="94"/>
      <c r="Z531" s="94"/>
      <c r="AA531" s="94"/>
      <c r="AB531" s="94"/>
      <c r="AC531" s="1756">
        <v>10</v>
      </c>
      <c r="AD531" s="1757"/>
      <c r="AE531" s="1757"/>
      <c r="AF531" s="1757"/>
      <c r="AG531" s="79" t="s">
        <v>276</v>
      </c>
      <c r="AH531" s="1664">
        <v>2021</v>
      </c>
      <c r="AI531" s="1664"/>
      <c r="AJ531" s="1664"/>
      <c r="AK531" s="166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761"/>
      <c r="C532" s="1762"/>
      <c r="D532" s="1762"/>
      <c r="E532" s="1762"/>
      <c r="F532" s="1762"/>
      <c r="G532" s="1762"/>
      <c r="H532" s="1763"/>
      <c r="I532" s="86" t="s">
        <v>754</v>
      </c>
      <c r="J532" s="86"/>
      <c r="K532" s="86"/>
      <c r="L532" s="86"/>
      <c r="M532" s="86"/>
      <c r="N532" s="86"/>
      <c r="O532" s="1697" t="s">
        <v>2483</v>
      </c>
      <c r="P532" s="1697"/>
      <c r="Q532" s="1697"/>
      <c r="R532" s="1697"/>
      <c r="S532" s="1697"/>
      <c r="T532" s="1697"/>
      <c r="U532" s="1697"/>
      <c r="V532" s="1697"/>
      <c r="W532" s="1697"/>
      <c r="X532" s="1697"/>
      <c r="Y532" s="1697"/>
      <c r="Z532" s="1697"/>
      <c r="AA532" s="1697"/>
      <c r="AC532" s="1756"/>
      <c r="AD532" s="1757"/>
      <c r="AE532" s="1757"/>
      <c r="AF532" s="1757"/>
      <c r="AG532" s="89" t="s">
        <v>276</v>
      </c>
      <c r="AH532" s="1664"/>
      <c r="AI532" s="1664"/>
      <c r="AJ532" s="1664"/>
      <c r="AK532" s="166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761"/>
      <c r="C533" s="1762"/>
      <c r="D533" s="1762"/>
      <c r="E533" s="1762"/>
      <c r="F533" s="1762"/>
      <c r="G533" s="1762"/>
      <c r="H533" s="1763"/>
      <c r="I533" s="35" t="s">
        <v>752</v>
      </c>
      <c r="J533" s="35"/>
      <c r="K533" s="35"/>
      <c r="L533" s="35"/>
      <c r="M533" s="35"/>
      <c r="N533" s="35"/>
      <c r="O533" s="35"/>
      <c r="P533" s="35"/>
      <c r="Q533" s="35"/>
      <c r="R533" s="35"/>
      <c r="S533" s="35"/>
      <c r="T533" s="35"/>
      <c r="U533" s="35"/>
      <c r="V533" s="35"/>
      <c r="W533" s="35"/>
      <c r="X533" s="35"/>
      <c r="Y533" s="35"/>
      <c r="AC533" s="1756">
        <v>11</v>
      </c>
      <c r="AD533" s="1757"/>
      <c r="AE533" s="1757"/>
      <c r="AF533" s="1757"/>
      <c r="AG533" s="89" t="s">
        <v>276</v>
      </c>
      <c r="AH533" s="1664">
        <v>2020</v>
      </c>
      <c r="AI533" s="1664"/>
      <c r="AJ533" s="1664"/>
      <c r="AK533" s="166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761"/>
      <c r="C534" s="1762"/>
      <c r="D534" s="1762"/>
      <c r="E534" s="1762"/>
      <c r="F534" s="1762"/>
      <c r="G534" s="1762"/>
      <c r="H534" s="1763"/>
      <c r="I534" s="94" t="s">
        <v>753</v>
      </c>
      <c r="J534" s="94"/>
      <c r="K534" s="94"/>
      <c r="L534" s="94"/>
      <c r="M534" s="94"/>
      <c r="N534" s="94"/>
      <c r="O534" s="94"/>
      <c r="P534" s="94"/>
      <c r="Q534" s="94"/>
      <c r="R534" s="94"/>
      <c r="S534" s="94"/>
      <c r="T534" s="94"/>
      <c r="U534" s="94"/>
      <c r="V534" s="94"/>
      <c r="W534" s="94"/>
      <c r="X534" s="94"/>
      <c r="Y534" s="94"/>
      <c r="Z534" s="94"/>
      <c r="AA534" s="94"/>
      <c r="AB534" s="94"/>
      <c r="AC534" s="1756">
        <v>11</v>
      </c>
      <c r="AD534" s="1757"/>
      <c r="AE534" s="1757"/>
      <c r="AF534" s="1757"/>
      <c r="AG534" s="79" t="s">
        <v>276</v>
      </c>
      <c r="AH534" s="1664">
        <v>2023</v>
      </c>
      <c r="AI534" s="1664"/>
      <c r="AJ534" s="1664"/>
      <c r="AK534" s="166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761"/>
      <c r="C535" s="1762"/>
      <c r="D535" s="1762"/>
      <c r="E535" s="1762"/>
      <c r="F535" s="1762"/>
      <c r="G535" s="1762"/>
      <c r="H535" s="1763"/>
      <c r="I535" s="86" t="s">
        <v>754</v>
      </c>
      <c r="J535" s="86"/>
      <c r="K535" s="86"/>
      <c r="L535" s="86"/>
      <c r="M535" s="86"/>
      <c r="N535" s="86"/>
      <c r="O535" s="1697" t="s">
        <v>622</v>
      </c>
      <c r="P535" s="1697"/>
      <c r="Q535" s="1697"/>
      <c r="R535" s="1697"/>
      <c r="S535" s="1697"/>
      <c r="T535" s="1697"/>
      <c r="U535" s="1697"/>
      <c r="V535" s="1697"/>
      <c r="W535" s="1697"/>
      <c r="X535" s="1697"/>
      <c r="Y535" s="1697"/>
      <c r="Z535" s="1697"/>
      <c r="AA535" s="1697"/>
      <c r="AC535" s="1756" t="s">
        <v>136</v>
      </c>
      <c r="AD535" s="1757"/>
      <c r="AE535" s="1757"/>
      <c r="AF535" s="1757"/>
      <c r="AG535" s="89" t="s">
        <v>276</v>
      </c>
      <c r="AH535" s="1664"/>
      <c r="AI535" s="1664"/>
      <c r="AJ535" s="1664"/>
      <c r="AK535" s="166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761"/>
      <c r="C536" s="1762"/>
      <c r="D536" s="1762"/>
      <c r="E536" s="1762"/>
      <c r="F536" s="1762"/>
      <c r="G536" s="1762"/>
      <c r="H536" s="1763"/>
      <c r="I536" s="35" t="s">
        <v>752</v>
      </c>
      <c r="J536" s="35"/>
      <c r="K536" s="35"/>
      <c r="L536" s="35"/>
      <c r="M536" s="35"/>
      <c r="N536" s="35"/>
      <c r="O536" s="35"/>
      <c r="P536" s="35"/>
      <c r="Q536" s="35"/>
      <c r="R536" s="35"/>
      <c r="S536" s="35"/>
      <c r="T536" s="35"/>
      <c r="U536" s="35"/>
      <c r="V536" s="35"/>
      <c r="W536" s="35"/>
      <c r="X536" s="35"/>
      <c r="Y536" s="35"/>
      <c r="AC536" s="1756" t="s">
        <v>136</v>
      </c>
      <c r="AD536" s="1757"/>
      <c r="AE536" s="1757"/>
      <c r="AF536" s="1757"/>
      <c r="AG536" s="89" t="s">
        <v>276</v>
      </c>
      <c r="AH536" s="1664"/>
      <c r="AI536" s="1664"/>
      <c r="AJ536" s="1664"/>
      <c r="AK536" s="166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761"/>
      <c r="C537" s="1762"/>
      <c r="D537" s="1762"/>
      <c r="E537" s="1762"/>
      <c r="F537" s="1762"/>
      <c r="G537" s="1762"/>
      <c r="H537" s="1763"/>
      <c r="I537" s="94" t="s">
        <v>753</v>
      </c>
      <c r="J537" s="94"/>
      <c r="K537" s="94"/>
      <c r="L537" s="94"/>
      <c r="M537" s="94"/>
      <c r="N537" s="94"/>
      <c r="O537" s="94"/>
      <c r="P537" s="94"/>
      <c r="Q537" s="94"/>
      <c r="R537" s="94"/>
      <c r="S537" s="94"/>
      <c r="T537" s="94"/>
      <c r="U537" s="94"/>
      <c r="V537" s="94"/>
      <c r="W537" s="94"/>
      <c r="X537" s="94"/>
      <c r="Y537" s="94"/>
      <c r="Z537" s="94"/>
      <c r="AA537" s="94"/>
      <c r="AB537" s="94"/>
      <c r="AC537" s="1756" t="s">
        <v>136</v>
      </c>
      <c r="AD537" s="1757"/>
      <c r="AE537" s="1757"/>
      <c r="AF537" s="1757"/>
      <c r="AG537" s="79" t="s">
        <v>276</v>
      </c>
      <c r="AH537" s="1664"/>
      <c r="AI537" s="1664"/>
      <c r="AJ537" s="1664"/>
      <c r="AK537" s="166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761"/>
      <c r="C538" s="1762"/>
      <c r="D538" s="1762"/>
      <c r="E538" s="1762"/>
      <c r="F538" s="1762"/>
      <c r="G538" s="1762"/>
      <c r="H538" s="1763"/>
      <c r="I538" s="86" t="s">
        <v>754</v>
      </c>
      <c r="J538" s="86"/>
      <c r="K538" s="86"/>
      <c r="L538" s="86"/>
      <c r="M538" s="86"/>
      <c r="N538" s="86"/>
      <c r="O538" s="1697" t="s">
        <v>622</v>
      </c>
      <c r="P538" s="1697"/>
      <c r="Q538" s="1697"/>
      <c r="R538" s="1697"/>
      <c r="S538" s="1697"/>
      <c r="T538" s="1697"/>
      <c r="U538" s="1697"/>
      <c r="V538" s="1697"/>
      <c r="W538" s="1697"/>
      <c r="X538" s="1697"/>
      <c r="Y538" s="1697"/>
      <c r="Z538" s="1697"/>
      <c r="AA538" s="1697"/>
      <c r="AC538" s="1756" t="s">
        <v>136</v>
      </c>
      <c r="AD538" s="1757"/>
      <c r="AE538" s="1757"/>
      <c r="AF538" s="1757"/>
      <c r="AG538" s="89" t="s">
        <v>276</v>
      </c>
      <c r="AH538" s="1664"/>
      <c r="AI538" s="1664"/>
      <c r="AJ538" s="1664"/>
      <c r="AK538" s="166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761"/>
      <c r="C539" s="1762"/>
      <c r="D539" s="1762"/>
      <c r="E539" s="1762"/>
      <c r="F539" s="1762"/>
      <c r="G539" s="1762"/>
      <c r="H539" s="1763"/>
      <c r="I539" s="35" t="s">
        <v>752</v>
      </c>
      <c r="J539" s="35"/>
      <c r="K539" s="35"/>
      <c r="L539" s="35"/>
      <c r="M539" s="35"/>
      <c r="N539" s="35"/>
      <c r="O539" s="35"/>
      <c r="P539" s="35"/>
      <c r="Q539" s="35"/>
      <c r="R539" s="35"/>
      <c r="S539" s="35"/>
      <c r="T539" s="35"/>
      <c r="U539" s="35"/>
      <c r="V539" s="35"/>
      <c r="W539" s="35"/>
      <c r="X539" s="35"/>
      <c r="Y539" s="35"/>
      <c r="AC539" s="1756" t="s">
        <v>136</v>
      </c>
      <c r="AD539" s="1757"/>
      <c r="AE539" s="1757"/>
      <c r="AF539" s="1757"/>
      <c r="AG539" s="79" t="s">
        <v>276</v>
      </c>
      <c r="AH539" s="1664"/>
      <c r="AI539" s="1664"/>
      <c r="AJ539" s="1664"/>
      <c r="AK539" s="166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761"/>
      <c r="C540" s="1762"/>
      <c r="D540" s="1762"/>
      <c r="E540" s="1762"/>
      <c r="F540" s="1762"/>
      <c r="G540" s="1762"/>
      <c r="H540" s="1763"/>
      <c r="I540" s="94" t="s">
        <v>753</v>
      </c>
      <c r="J540" s="94"/>
      <c r="K540" s="94"/>
      <c r="L540" s="94"/>
      <c r="M540" s="94"/>
      <c r="N540" s="94"/>
      <c r="O540" s="94"/>
      <c r="P540" s="94"/>
      <c r="Q540" s="94"/>
      <c r="R540" s="94"/>
      <c r="S540" s="94"/>
      <c r="T540" s="94"/>
      <c r="U540" s="94"/>
      <c r="V540" s="94"/>
      <c r="W540" s="94"/>
      <c r="X540" s="94"/>
      <c r="Y540" s="94"/>
      <c r="Z540" s="94"/>
      <c r="AA540" s="94"/>
      <c r="AB540" s="94"/>
      <c r="AC540" s="1756" t="s">
        <v>136</v>
      </c>
      <c r="AD540" s="1757"/>
      <c r="AE540" s="1757"/>
      <c r="AF540" s="1757"/>
      <c r="AG540" s="89" t="s">
        <v>276</v>
      </c>
      <c r="AH540" s="1664"/>
      <c r="AI540" s="1664"/>
      <c r="AJ540" s="1664"/>
      <c r="AK540" s="166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61"/>
      <c r="C541" s="1762"/>
      <c r="D541" s="1762"/>
      <c r="E541" s="1762"/>
      <c r="F541" s="1762"/>
      <c r="G541" s="1762"/>
      <c r="H541" s="1763"/>
      <c r="I541" s="86" t="s">
        <v>754</v>
      </c>
      <c r="J541" s="86"/>
      <c r="K541" s="86"/>
      <c r="L541" s="86"/>
      <c r="M541" s="86"/>
      <c r="N541" s="86"/>
      <c r="O541" s="1697" t="s">
        <v>622</v>
      </c>
      <c r="P541" s="1697"/>
      <c r="Q541" s="1697"/>
      <c r="R541" s="1697"/>
      <c r="S541" s="1697"/>
      <c r="T541" s="1697"/>
      <c r="U541" s="1697"/>
      <c r="V541" s="1697"/>
      <c r="W541" s="1697"/>
      <c r="X541" s="1697"/>
      <c r="Y541" s="1697"/>
      <c r="Z541" s="1697"/>
      <c r="AA541" s="1697"/>
      <c r="AC541" s="1756" t="s">
        <v>136</v>
      </c>
      <c r="AD541" s="1757"/>
      <c r="AE541" s="1757"/>
      <c r="AF541" s="1757"/>
      <c r="AG541" s="79" t="s">
        <v>276</v>
      </c>
      <c r="AH541" s="1664"/>
      <c r="AI541" s="1664"/>
      <c r="AJ541" s="1664"/>
      <c r="AK541" s="166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761"/>
      <c r="C542" s="1762"/>
      <c r="D542" s="1762"/>
      <c r="E542" s="1762"/>
      <c r="F542" s="1762"/>
      <c r="G542" s="1762"/>
      <c r="H542" s="1763"/>
      <c r="I542" s="35" t="s">
        <v>752</v>
      </c>
      <c r="J542" s="35"/>
      <c r="K542" s="35"/>
      <c r="L542" s="35"/>
      <c r="M542" s="35"/>
      <c r="N542" s="35"/>
      <c r="O542" s="35"/>
      <c r="P542" s="35"/>
      <c r="Q542" s="35"/>
      <c r="R542" s="35"/>
      <c r="S542" s="35"/>
      <c r="T542" s="35"/>
      <c r="U542" s="35"/>
      <c r="V542" s="35"/>
      <c r="W542" s="35"/>
      <c r="X542" s="35"/>
      <c r="Y542" s="35"/>
      <c r="AC542" s="1756" t="s">
        <v>136</v>
      </c>
      <c r="AD542" s="1757"/>
      <c r="AE542" s="1757"/>
      <c r="AF542" s="1757"/>
      <c r="AG542" s="89" t="s">
        <v>276</v>
      </c>
      <c r="AH542" s="1664"/>
      <c r="AI542" s="1664"/>
      <c r="AJ542" s="1664"/>
      <c r="AK542" s="166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761"/>
      <c r="C543" s="1762"/>
      <c r="D543" s="1762"/>
      <c r="E543" s="1762"/>
      <c r="F543" s="1762"/>
      <c r="G543" s="1762"/>
      <c r="H543" s="1763"/>
      <c r="I543" s="94" t="s">
        <v>753</v>
      </c>
      <c r="J543" s="94"/>
      <c r="K543" s="94"/>
      <c r="L543" s="94"/>
      <c r="M543" s="94"/>
      <c r="N543" s="94"/>
      <c r="O543" s="94"/>
      <c r="P543" s="94"/>
      <c r="Q543" s="94"/>
      <c r="R543" s="94"/>
      <c r="S543" s="94"/>
      <c r="T543" s="94"/>
      <c r="U543" s="94"/>
      <c r="V543" s="94"/>
      <c r="W543" s="94"/>
      <c r="X543" s="94"/>
      <c r="Y543" s="94"/>
      <c r="Z543" s="94"/>
      <c r="AA543" s="94"/>
      <c r="AB543" s="94"/>
      <c r="AC543" s="1756" t="s">
        <v>136</v>
      </c>
      <c r="AD543" s="1757"/>
      <c r="AE543" s="1757"/>
      <c r="AF543" s="1757"/>
      <c r="AG543" s="79" t="s">
        <v>276</v>
      </c>
      <c r="AH543" s="1664"/>
      <c r="AI543" s="1664"/>
      <c r="AJ543" s="1664"/>
      <c r="AK543" s="166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61"/>
      <c r="C544" s="1762"/>
      <c r="D544" s="1762"/>
      <c r="E544" s="1762"/>
      <c r="F544" s="1762"/>
      <c r="G544" s="1762"/>
      <c r="H544" s="1763"/>
      <c r="I544" s="86" t="s">
        <v>802</v>
      </c>
      <c r="J544" s="86"/>
      <c r="K544" s="86"/>
      <c r="L544" s="86"/>
      <c r="M544" s="86"/>
      <c r="N544" s="86"/>
      <c r="O544" s="86"/>
      <c r="P544" s="86"/>
      <c r="Q544" s="86"/>
      <c r="R544" s="86"/>
      <c r="S544" s="86"/>
      <c r="T544" s="86"/>
      <c r="U544" s="86"/>
      <c r="V544" s="86"/>
      <c r="W544" s="86"/>
      <c r="X544" s="35"/>
      <c r="Y544" s="35"/>
      <c r="AC544" s="1756">
        <v>10</v>
      </c>
      <c r="AD544" s="1757"/>
      <c r="AE544" s="1757"/>
      <c r="AF544" s="1757"/>
      <c r="AG544" s="79" t="s">
        <v>276</v>
      </c>
      <c r="AH544" s="1664">
        <v>2022</v>
      </c>
      <c r="AI544" s="1664"/>
      <c r="AJ544" s="1664"/>
      <c r="AK544" s="166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761"/>
      <c r="C545" s="1762"/>
      <c r="D545" s="1762"/>
      <c r="E545" s="1762"/>
      <c r="F545" s="1762"/>
      <c r="G545" s="1762"/>
      <c r="H545" s="1763"/>
      <c r="I545" s="35" t="s">
        <v>803</v>
      </c>
      <c r="J545" s="35"/>
      <c r="K545" s="35"/>
      <c r="L545" s="35"/>
      <c r="M545" s="35"/>
      <c r="N545" s="35"/>
      <c r="O545" s="35"/>
      <c r="P545" s="35"/>
      <c r="Q545" s="35"/>
      <c r="R545" s="35"/>
      <c r="S545" s="35"/>
      <c r="T545" s="35"/>
      <c r="U545" s="35"/>
      <c r="V545" s="35"/>
      <c r="W545" s="35"/>
      <c r="X545" s="35"/>
      <c r="Y545" s="35"/>
      <c r="AC545" s="1756">
        <v>10</v>
      </c>
      <c r="AD545" s="1757"/>
      <c r="AE545" s="1757"/>
      <c r="AF545" s="1757"/>
      <c r="AG545" s="89" t="s">
        <v>276</v>
      </c>
      <c r="AH545" s="1664">
        <v>2021</v>
      </c>
      <c r="AI545" s="1664"/>
      <c r="AJ545" s="1664"/>
      <c r="AK545" s="166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761"/>
      <c r="C546" s="1762"/>
      <c r="D546" s="1762"/>
      <c r="E546" s="1762"/>
      <c r="F546" s="1762"/>
      <c r="G546" s="1762"/>
      <c r="H546" s="1763"/>
      <c r="I546" s="35" t="s">
        <v>804</v>
      </c>
      <c r="J546" s="35"/>
      <c r="K546" s="35"/>
      <c r="L546" s="35"/>
      <c r="M546" s="35"/>
      <c r="N546" s="35"/>
      <c r="O546" s="35"/>
      <c r="P546" s="35"/>
      <c r="Q546" s="35"/>
      <c r="R546" s="35"/>
      <c r="S546" s="35"/>
      <c r="T546" s="35"/>
      <c r="U546" s="35"/>
      <c r="V546" s="35"/>
      <c r="W546" s="35"/>
      <c r="X546" s="35"/>
      <c r="Y546" s="35"/>
      <c r="AC546" s="1756">
        <v>7</v>
      </c>
      <c r="AD546" s="1757"/>
      <c r="AE546" s="1757"/>
      <c r="AF546" s="1757"/>
      <c r="AG546" s="79" t="s">
        <v>276</v>
      </c>
      <c r="AH546" s="1664">
        <v>2023</v>
      </c>
      <c r="AI546" s="1664"/>
      <c r="AJ546" s="1664"/>
      <c r="AK546" s="166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761"/>
      <c r="C547" s="1762"/>
      <c r="D547" s="1762"/>
      <c r="E547" s="1762"/>
      <c r="F547" s="1762"/>
      <c r="G547" s="1762"/>
      <c r="H547" s="1763"/>
      <c r="I547" s="35" t="s">
        <v>805</v>
      </c>
      <c r="J547" s="35"/>
      <c r="K547" s="35"/>
      <c r="L547" s="35"/>
      <c r="M547" s="35"/>
      <c r="N547" s="35"/>
      <c r="O547" s="35"/>
      <c r="P547" s="35"/>
      <c r="Q547" s="35"/>
      <c r="R547" s="35"/>
      <c r="S547" s="35"/>
      <c r="T547" s="35"/>
      <c r="U547" s="35"/>
      <c r="V547" s="35"/>
      <c r="W547" s="35"/>
      <c r="X547" s="35"/>
      <c r="Y547" s="35"/>
      <c r="AC547" s="1756">
        <v>7</v>
      </c>
      <c r="AD547" s="1757"/>
      <c r="AE547" s="1757"/>
      <c r="AF547" s="1757"/>
      <c r="AG547" s="79" t="s">
        <v>276</v>
      </c>
      <c r="AH547" s="1664">
        <v>2023</v>
      </c>
      <c r="AI547" s="1664"/>
      <c r="AJ547" s="1664"/>
      <c r="AK547" s="166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764"/>
      <c r="C548" s="1765"/>
      <c r="D548" s="1765"/>
      <c r="E548" s="1765"/>
      <c r="F548" s="1765"/>
      <c r="G548" s="1765"/>
      <c r="H548" s="1766"/>
      <c r="I548" s="94" t="s">
        <v>1520</v>
      </c>
      <c r="J548" s="94"/>
      <c r="K548" s="94"/>
      <c r="L548" s="94"/>
      <c r="M548" s="94"/>
      <c r="N548" s="94"/>
      <c r="O548" s="94"/>
      <c r="P548" s="94"/>
      <c r="Q548" s="94"/>
      <c r="R548" s="94"/>
      <c r="S548" s="94"/>
      <c r="T548" s="94"/>
      <c r="U548" s="94"/>
      <c r="V548" s="94"/>
      <c r="W548" s="94"/>
      <c r="X548" s="94"/>
      <c r="Y548" s="94"/>
      <c r="Z548" s="94"/>
      <c r="AA548" s="94"/>
      <c r="AB548" s="94"/>
      <c r="AC548" s="1756">
        <v>11</v>
      </c>
      <c r="AD548" s="1757"/>
      <c r="AE548" s="1757"/>
      <c r="AF548" s="1757"/>
      <c r="AG548" s="79" t="s">
        <v>276</v>
      </c>
      <c r="AH548" s="1664">
        <v>2023</v>
      </c>
      <c r="AI548" s="1664"/>
      <c r="AJ548" s="1664"/>
      <c r="AK548" s="166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547</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3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69" t="s">
        <v>807</v>
      </c>
      <c r="C557" s="1836"/>
      <c r="D557" s="1836"/>
      <c r="E557" s="1836"/>
      <c r="F557" s="1836"/>
      <c r="G557" s="1836"/>
      <c r="H557" s="1836"/>
      <c r="I557" s="1836"/>
      <c r="J557" s="1836"/>
      <c r="K557" s="1836"/>
      <c r="L557" s="1836"/>
      <c r="M557" s="1836"/>
      <c r="N557" s="1836"/>
      <c r="O557" s="1836"/>
      <c r="P557" s="1837"/>
      <c r="Q557" s="1769" t="s">
        <v>489</v>
      </c>
      <c r="R557" s="1770"/>
      <c r="S557" s="1771"/>
      <c r="T557" s="1769" t="s">
        <v>2290</v>
      </c>
      <c r="U557" s="1770"/>
      <c r="V557" s="1771"/>
      <c r="W557" s="1769" t="s">
        <v>808</v>
      </c>
      <c r="X557" s="1770"/>
      <c r="Y557" s="1771"/>
      <c r="Z557" s="1769" t="s">
        <v>2295</v>
      </c>
      <c r="AA557" s="1770"/>
      <c r="AB557" s="1770"/>
      <c r="AC557" s="1770"/>
      <c r="AD557" s="1770"/>
      <c r="AE557" s="1769" t="s">
        <v>2292</v>
      </c>
      <c r="AF557" s="1770"/>
      <c r="AG557" s="1770"/>
      <c r="AH557" s="1771"/>
      <c r="AI557" s="1769" t="s">
        <v>2296</v>
      </c>
      <c r="AJ557" s="1770"/>
      <c r="AK557" s="1770"/>
      <c r="AL557" s="1771"/>
      <c r="AM557" s="1769" t="s">
        <v>809</v>
      </c>
      <c r="AN557" s="1770"/>
      <c r="AO557" s="1770"/>
      <c r="AP557" s="1770"/>
      <c r="AQ557" s="1770"/>
      <c r="AR557" s="1770"/>
      <c r="AS557" s="17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1004</v>
      </c>
      <c r="C558" s="1706" t="s">
        <v>2504</v>
      </c>
      <c r="D558" s="1706"/>
      <c r="E558" s="1706"/>
      <c r="F558" s="1706"/>
      <c r="G558" s="1706"/>
      <c r="H558" s="1706"/>
      <c r="I558" s="1706"/>
      <c r="J558" s="1706"/>
      <c r="K558" s="1706"/>
      <c r="L558" s="1706"/>
      <c r="M558" s="1706"/>
      <c r="N558" s="1706"/>
      <c r="O558" s="1706"/>
      <c r="P558" s="1707"/>
      <c r="Q558" s="1712">
        <v>25</v>
      </c>
      <c r="R558" s="1712"/>
      <c r="S558" s="1713"/>
      <c r="T558" s="1711"/>
      <c r="U558" s="1712"/>
      <c r="V558" s="1713"/>
      <c r="W558" s="1746">
        <v>4.2500000000000003E-2</v>
      </c>
      <c r="X558" s="1747"/>
      <c r="Y558" s="1748"/>
      <c r="Z558" s="1749" t="s">
        <v>2492</v>
      </c>
      <c r="AA558" s="1749"/>
      <c r="AB558" s="1749"/>
      <c r="AC558" s="1749"/>
      <c r="AD558" s="1749"/>
      <c r="AE558" s="1750">
        <v>1</v>
      </c>
      <c r="AF558" s="1751"/>
      <c r="AG558" s="1751"/>
      <c r="AH558" s="1752"/>
      <c r="AI558" s="1753"/>
      <c r="AJ558" s="1754"/>
      <c r="AK558" s="1754"/>
      <c r="AL558" s="1755"/>
      <c r="AM558" s="1651">
        <v>28437135</v>
      </c>
      <c r="AN558" s="1652"/>
      <c r="AO558" s="1652"/>
      <c r="AP558" s="1652"/>
      <c r="AQ558" s="1652"/>
      <c r="AR558" s="1652"/>
      <c r="AS558" s="165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1005</v>
      </c>
      <c r="C559" s="1706" t="s">
        <v>2465</v>
      </c>
      <c r="D559" s="1706"/>
      <c r="E559" s="1706"/>
      <c r="F559" s="1706"/>
      <c r="G559" s="1706"/>
      <c r="H559" s="1706"/>
      <c r="I559" s="1706"/>
      <c r="J559" s="1706"/>
      <c r="K559" s="1706"/>
      <c r="L559" s="1706"/>
      <c r="M559" s="1706"/>
      <c r="N559" s="1706"/>
      <c r="O559" s="1706"/>
      <c r="P559" s="1707"/>
      <c r="Q559" s="1711">
        <f>55*12</f>
        <v>660</v>
      </c>
      <c r="R559" s="1712"/>
      <c r="S559" s="1713"/>
      <c r="T559" s="1711"/>
      <c r="U559" s="1712"/>
      <c r="V559" s="1713"/>
      <c r="W559" s="1746">
        <v>0.03</v>
      </c>
      <c r="X559" s="1747"/>
      <c r="Y559" s="1748"/>
      <c r="Z559" s="1749" t="s">
        <v>2492</v>
      </c>
      <c r="AA559" s="1749"/>
      <c r="AB559" s="1749"/>
      <c r="AC559" s="1749"/>
      <c r="AD559" s="1749"/>
      <c r="AE559" s="1750">
        <v>2</v>
      </c>
      <c r="AF559" s="1751"/>
      <c r="AG559" s="1751"/>
      <c r="AH559" s="1752"/>
      <c r="AI559" s="1753"/>
      <c r="AJ559" s="1754"/>
      <c r="AK559" s="1754"/>
      <c r="AL559" s="1755"/>
      <c r="AM559" s="1651">
        <v>3280000</v>
      </c>
      <c r="AN559" s="1652"/>
      <c r="AO559" s="1652"/>
      <c r="AP559" s="1652"/>
      <c r="AQ559" s="1652"/>
      <c r="AR559" s="1652"/>
      <c r="AS559" s="165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1011</v>
      </c>
      <c r="C560" s="1706" t="s">
        <v>2466</v>
      </c>
      <c r="D560" s="1706"/>
      <c r="E560" s="1706"/>
      <c r="F560" s="1706"/>
      <c r="G560" s="1706"/>
      <c r="H560" s="1706"/>
      <c r="I560" s="1706"/>
      <c r="J560" s="1706"/>
      <c r="K560" s="1706"/>
      <c r="L560" s="1706"/>
      <c r="M560" s="1706"/>
      <c r="N560" s="1706"/>
      <c r="O560" s="1706"/>
      <c r="P560" s="1707"/>
      <c r="Q560" s="1711">
        <f>55*12</f>
        <v>660</v>
      </c>
      <c r="R560" s="1712"/>
      <c r="S560" s="1713"/>
      <c r="T560" s="1711"/>
      <c r="U560" s="1712"/>
      <c r="V560" s="1713"/>
      <c r="W560" s="1746">
        <v>0.03</v>
      </c>
      <c r="X560" s="1747"/>
      <c r="Y560" s="1748"/>
      <c r="Z560" s="1749" t="s">
        <v>2492</v>
      </c>
      <c r="AA560" s="1749"/>
      <c r="AB560" s="1749"/>
      <c r="AC560" s="1749"/>
      <c r="AD560" s="1749"/>
      <c r="AE560" s="1750">
        <v>3</v>
      </c>
      <c r="AF560" s="1751"/>
      <c r="AG560" s="1751"/>
      <c r="AH560" s="1752"/>
      <c r="AI560" s="1753"/>
      <c r="AJ560" s="1754"/>
      <c r="AK560" s="1754"/>
      <c r="AL560" s="1755"/>
      <c r="AM560" s="1651">
        <v>265000</v>
      </c>
      <c r="AN560" s="1652"/>
      <c r="AO560" s="1652"/>
      <c r="AP560" s="1652"/>
      <c r="AQ560" s="1652"/>
      <c r="AR560" s="1652"/>
      <c r="AS560" s="165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706" t="s">
        <v>2391</v>
      </c>
      <c r="D561" s="1706"/>
      <c r="E561" s="1706"/>
      <c r="F561" s="1706"/>
      <c r="G561" s="1706"/>
      <c r="H561" s="1706"/>
      <c r="I561" s="1706"/>
      <c r="J561" s="1706"/>
      <c r="K561" s="1706"/>
      <c r="L561" s="1706"/>
      <c r="M561" s="1706"/>
      <c r="N561" s="1706"/>
      <c r="O561" s="1706"/>
      <c r="P561" s="1707"/>
      <c r="Q561" s="1711"/>
      <c r="R561" s="1712"/>
      <c r="S561" s="1713"/>
      <c r="T561" s="1711"/>
      <c r="U561" s="1712"/>
      <c r="V561" s="1713"/>
      <c r="W561" s="1746"/>
      <c r="X561" s="1747"/>
      <c r="Y561" s="1748"/>
      <c r="Z561" s="1749" t="s">
        <v>136</v>
      </c>
      <c r="AA561" s="1749"/>
      <c r="AB561" s="1749"/>
      <c r="AC561" s="1749"/>
      <c r="AD561" s="1749"/>
      <c r="AE561" s="1750"/>
      <c r="AF561" s="1751"/>
      <c r="AG561" s="1751"/>
      <c r="AH561" s="1752"/>
      <c r="AI561" s="1753"/>
      <c r="AJ561" s="1754"/>
      <c r="AK561" s="1754"/>
      <c r="AL561" s="1755"/>
      <c r="AM561" s="1651">
        <v>1880086</v>
      </c>
      <c r="AN561" s="1652"/>
      <c r="AO561" s="1652"/>
      <c r="AP561" s="1652"/>
      <c r="AQ561" s="1652"/>
      <c r="AR561" s="1652"/>
      <c r="AS561" s="165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706" t="s">
        <v>2467</v>
      </c>
      <c r="D562" s="1706"/>
      <c r="E562" s="1706"/>
      <c r="F562" s="1706"/>
      <c r="G562" s="1706"/>
      <c r="H562" s="1706"/>
      <c r="I562" s="1706"/>
      <c r="J562" s="1706"/>
      <c r="K562" s="1706"/>
      <c r="L562" s="1706"/>
      <c r="M562" s="1706"/>
      <c r="N562" s="1706"/>
      <c r="O562" s="1706"/>
      <c r="P562" s="1707"/>
      <c r="Q562" s="1711">
        <f>10*12</f>
        <v>120</v>
      </c>
      <c r="R562" s="1712"/>
      <c r="S562" s="1713"/>
      <c r="T562" s="1711"/>
      <c r="U562" s="1712"/>
      <c r="V562" s="1713"/>
      <c r="W562" s="1746"/>
      <c r="X562" s="1747"/>
      <c r="Y562" s="1748"/>
      <c r="Z562" s="1749" t="s">
        <v>136</v>
      </c>
      <c r="AA562" s="1749"/>
      <c r="AB562" s="1749"/>
      <c r="AC562" s="1749"/>
      <c r="AD562" s="1749"/>
      <c r="AE562" s="1750"/>
      <c r="AF562" s="1751"/>
      <c r="AG562" s="1751"/>
      <c r="AH562" s="1752"/>
      <c r="AI562" s="1753"/>
      <c r="AJ562" s="1754"/>
      <c r="AK562" s="1754"/>
      <c r="AL562" s="1755"/>
      <c r="AM562" s="1651">
        <v>4973328</v>
      </c>
      <c r="AN562" s="1652"/>
      <c r="AO562" s="1652"/>
      <c r="AP562" s="1652"/>
      <c r="AQ562" s="1652"/>
      <c r="AR562" s="1652"/>
      <c r="AS562" s="165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706"/>
      <c r="D563" s="1706"/>
      <c r="E563" s="1706"/>
      <c r="F563" s="1706"/>
      <c r="G563" s="1706"/>
      <c r="H563" s="1706"/>
      <c r="I563" s="1706"/>
      <c r="J563" s="1706"/>
      <c r="K563" s="1706"/>
      <c r="L563" s="1706"/>
      <c r="M563" s="1706"/>
      <c r="N563" s="1706"/>
      <c r="O563" s="1706"/>
      <c r="P563" s="1707"/>
      <c r="Q563" s="1711"/>
      <c r="R563" s="1712"/>
      <c r="S563" s="1713"/>
      <c r="T563" s="1711"/>
      <c r="U563" s="1712"/>
      <c r="V563" s="1713"/>
      <c r="W563" s="1746"/>
      <c r="X563" s="1747"/>
      <c r="Y563" s="1748"/>
      <c r="Z563" s="1749" t="s">
        <v>2276</v>
      </c>
      <c r="AA563" s="1749"/>
      <c r="AB563" s="1749"/>
      <c r="AC563" s="1749"/>
      <c r="AD563" s="1749"/>
      <c r="AE563" s="1750"/>
      <c r="AF563" s="1751"/>
      <c r="AG563" s="1751"/>
      <c r="AH563" s="1752"/>
      <c r="AI563" s="1753"/>
      <c r="AJ563" s="1754"/>
      <c r="AK563" s="1754"/>
      <c r="AL563" s="1755"/>
      <c r="AM563" s="1651"/>
      <c r="AN563" s="1652"/>
      <c r="AO563" s="1652"/>
      <c r="AP563" s="1652"/>
      <c r="AQ563" s="1652"/>
      <c r="AR563" s="1652"/>
      <c r="AS563" s="165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810</v>
      </c>
      <c r="C564" s="1706"/>
      <c r="D564" s="1706"/>
      <c r="E564" s="1706"/>
      <c r="F564" s="1706"/>
      <c r="G564" s="1706"/>
      <c r="H564" s="1706"/>
      <c r="I564" s="1706"/>
      <c r="J564" s="1706"/>
      <c r="K564" s="1706"/>
      <c r="L564" s="1706"/>
      <c r="M564" s="1706"/>
      <c r="N564" s="1706"/>
      <c r="O564" s="1706"/>
      <c r="P564" s="1707"/>
      <c r="Q564" s="1711"/>
      <c r="R564" s="1712"/>
      <c r="S564" s="1713"/>
      <c r="T564" s="1711"/>
      <c r="U564" s="1712"/>
      <c r="V564" s="1713"/>
      <c r="W564" s="1746"/>
      <c r="X564" s="1747"/>
      <c r="Y564" s="1748"/>
      <c r="Z564" s="1749" t="s">
        <v>2276</v>
      </c>
      <c r="AA564" s="1749"/>
      <c r="AB564" s="1749"/>
      <c r="AC564" s="1749"/>
      <c r="AD564" s="1749"/>
      <c r="AE564" s="1750"/>
      <c r="AF564" s="1751"/>
      <c r="AG564" s="1751"/>
      <c r="AH564" s="1752"/>
      <c r="AI564" s="1753"/>
      <c r="AJ564" s="1754"/>
      <c r="AK564" s="1754"/>
      <c r="AL564" s="1755"/>
      <c r="AM564" s="1651"/>
      <c r="AN564" s="1652"/>
      <c r="AO564" s="1652"/>
      <c r="AP564" s="1652"/>
      <c r="AQ564" s="1652"/>
      <c r="AR564" s="1652"/>
      <c r="AS564" s="165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811</v>
      </c>
      <c r="C565" s="1706"/>
      <c r="D565" s="1706"/>
      <c r="E565" s="1706"/>
      <c r="F565" s="1706"/>
      <c r="G565" s="1706"/>
      <c r="H565" s="1706"/>
      <c r="I565" s="1706"/>
      <c r="J565" s="1706"/>
      <c r="K565" s="1706"/>
      <c r="L565" s="1706"/>
      <c r="M565" s="1706"/>
      <c r="N565" s="1706"/>
      <c r="O565" s="1706"/>
      <c r="P565" s="1707"/>
      <c r="Q565" s="1711"/>
      <c r="R565" s="1712"/>
      <c r="S565" s="1713"/>
      <c r="T565" s="1711"/>
      <c r="U565" s="1712"/>
      <c r="V565" s="1713"/>
      <c r="W565" s="1746"/>
      <c r="X565" s="1747"/>
      <c r="Y565" s="1748"/>
      <c r="Z565" s="1749" t="s">
        <v>2276</v>
      </c>
      <c r="AA565" s="1749"/>
      <c r="AB565" s="1749"/>
      <c r="AC565" s="1749"/>
      <c r="AD565" s="1749"/>
      <c r="AE565" s="1750"/>
      <c r="AF565" s="1751"/>
      <c r="AG565" s="1751"/>
      <c r="AH565" s="1752"/>
      <c r="AI565" s="1753"/>
      <c r="AJ565" s="1754"/>
      <c r="AK565" s="1754"/>
      <c r="AL565" s="1755"/>
      <c r="AM565" s="1651"/>
      <c r="AN565" s="1652"/>
      <c r="AO565" s="1652"/>
      <c r="AP565" s="1652"/>
      <c r="AQ565" s="1652"/>
      <c r="AR565" s="1652"/>
      <c r="AS565" s="165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606</v>
      </c>
      <c r="C566" s="1706"/>
      <c r="D566" s="1706"/>
      <c r="E566" s="1706"/>
      <c r="F566" s="1706"/>
      <c r="G566" s="1706"/>
      <c r="H566" s="1706"/>
      <c r="I566" s="1706"/>
      <c r="J566" s="1706"/>
      <c r="K566" s="1706"/>
      <c r="L566" s="1706"/>
      <c r="M566" s="1706"/>
      <c r="N566" s="1706"/>
      <c r="O566" s="1706"/>
      <c r="P566" s="1707"/>
      <c r="Q566" s="1711"/>
      <c r="R566" s="1712"/>
      <c r="S566" s="1713"/>
      <c r="T566" s="1711"/>
      <c r="U566" s="1712"/>
      <c r="V566" s="1713"/>
      <c r="W566" s="1746"/>
      <c r="X566" s="1747"/>
      <c r="Y566" s="1748"/>
      <c r="Z566" s="1749" t="s">
        <v>2276</v>
      </c>
      <c r="AA566" s="1749"/>
      <c r="AB566" s="1749"/>
      <c r="AC566" s="1749"/>
      <c r="AD566" s="1749"/>
      <c r="AE566" s="1750"/>
      <c r="AF566" s="1751"/>
      <c r="AG566" s="1751"/>
      <c r="AH566" s="1752"/>
      <c r="AI566" s="1753"/>
      <c r="AJ566" s="1754"/>
      <c r="AK566" s="1754"/>
      <c r="AL566" s="1755"/>
      <c r="AM566" s="1651"/>
      <c r="AN566" s="1652"/>
      <c r="AO566" s="1652"/>
      <c r="AP566" s="1652"/>
      <c r="AQ566" s="1652"/>
      <c r="AR566" s="1652"/>
      <c r="AS566" s="165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706"/>
      <c r="D567" s="1706"/>
      <c r="E567" s="1706"/>
      <c r="F567" s="1706"/>
      <c r="G567" s="1706"/>
      <c r="H567" s="1706"/>
      <c r="I567" s="1706"/>
      <c r="J567" s="1706"/>
      <c r="K567" s="1706"/>
      <c r="L567" s="1706"/>
      <c r="M567" s="1706"/>
      <c r="N567" s="1706"/>
      <c r="O567" s="1706"/>
      <c r="P567" s="1707"/>
      <c r="Q567" s="1711"/>
      <c r="R567" s="1712"/>
      <c r="S567" s="1713"/>
      <c r="T567" s="1711"/>
      <c r="U567" s="1712"/>
      <c r="V567" s="1713"/>
      <c r="W567" s="1746"/>
      <c r="X567" s="1747"/>
      <c r="Y567" s="1748"/>
      <c r="Z567" s="1749" t="s">
        <v>2276</v>
      </c>
      <c r="AA567" s="1749"/>
      <c r="AB567" s="1749"/>
      <c r="AC567" s="1749"/>
      <c r="AD567" s="1749"/>
      <c r="AE567" s="1750"/>
      <c r="AF567" s="1751"/>
      <c r="AG567" s="1751"/>
      <c r="AH567" s="1752"/>
      <c r="AI567" s="1753"/>
      <c r="AJ567" s="1754"/>
      <c r="AK567" s="1754"/>
      <c r="AL567" s="1755"/>
      <c r="AM567" s="1651"/>
      <c r="AN567" s="1652"/>
      <c r="AO567" s="1652"/>
      <c r="AP567" s="1652"/>
      <c r="AQ567" s="1652"/>
      <c r="AR567" s="1652"/>
      <c r="AS567" s="165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706"/>
      <c r="D568" s="1706"/>
      <c r="E568" s="1706"/>
      <c r="F568" s="1706"/>
      <c r="G568" s="1706"/>
      <c r="H568" s="1706"/>
      <c r="I568" s="1706"/>
      <c r="J568" s="1706"/>
      <c r="K568" s="1706"/>
      <c r="L568" s="1706"/>
      <c r="M568" s="1706"/>
      <c r="N568" s="1706"/>
      <c r="O568" s="1706"/>
      <c r="P568" s="1707"/>
      <c r="Q568" s="1711"/>
      <c r="R568" s="1712"/>
      <c r="S568" s="1713"/>
      <c r="T568" s="1711"/>
      <c r="U568" s="1712"/>
      <c r="V568" s="1713"/>
      <c r="W568" s="1746"/>
      <c r="X568" s="1747"/>
      <c r="Y568" s="1748"/>
      <c r="Z568" s="1749" t="s">
        <v>2276</v>
      </c>
      <c r="AA568" s="1749"/>
      <c r="AB568" s="1749"/>
      <c r="AC568" s="1749"/>
      <c r="AD568" s="1749"/>
      <c r="AE568" s="1750"/>
      <c r="AF568" s="1751"/>
      <c r="AG568" s="1751"/>
      <c r="AH568" s="1752"/>
      <c r="AI568" s="1753"/>
      <c r="AJ568" s="1754"/>
      <c r="AK568" s="1754"/>
      <c r="AL568" s="1755"/>
      <c r="AM568" s="1651"/>
      <c r="AN568" s="1652"/>
      <c r="AO568" s="1652"/>
      <c r="AP568" s="1652"/>
      <c r="AQ568" s="1652"/>
      <c r="AR568" s="1652"/>
      <c r="AS568" s="165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706"/>
      <c r="D569" s="1706"/>
      <c r="E569" s="1706"/>
      <c r="F569" s="1706"/>
      <c r="G569" s="1706"/>
      <c r="H569" s="1706"/>
      <c r="I569" s="1706"/>
      <c r="J569" s="1706"/>
      <c r="K569" s="1706"/>
      <c r="L569" s="1706"/>
      <c r="M569" s="1706"/>
      <c r="N569" s="1706"/>
      <c r="O569" s="1706"/>
      <c r="P569" s="1707"/>
      <c r="Q569" s="1711"/>
      <c r="R569" s="1712"/>
      <c r="S569" s="1713"/>
      <c r="T569" s="1711"/>
      <c r="U569" s="1712"/>
      <c r="V569" s="1713"/>
      <c r="W569" s="1746"/>
      <c r="X569" s="1747"/>
      <c r="Y569" s="1748"/>
      <c r="Z569" s="1749" t="s">
        <v>2276</v>
      </c>
      <c r="AA569" s="1749"/>
      <c r="AB569" s="1749"/>
      <c r="AC569" s="1749"/>
      <c r="AD569" s="1749"/>
      <c r="AE569" s="1750"/>
      <c r="AF569" s="1751"/>
      <c r="AG569" s="1751"/>
      <c r="AH569" s="1752"/>
      <c r="AI569" s="1753"/>
      <c r="AJ569" s="1754"/>
      <c r="AK569" s="1754"/>
      <c r="AL569" s="1755"/>
      <c r="AM569" s="1651"/>
      <c r="AN569" s="1652"/>
      <c r="AO569" s="1652"/>
      <c r="AP569" s="1652"/>
      <c r="AQ569" s="1652"/>
      <c r="AR569" s="1652"/>
      <c r="AS569" s="165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742" t="s">
        <v>401</v>
      </c>
      <c r="C570" s="1743"/>
      <c r="D570" s="1743"/>
      <c r="E570" s="1743"/>
      <c r="F570" s="1743"/>
      <c r="G570" s="1743"/>
      <c r="H570" s="1743"/>
      <c r="I570" s="1743"/>
      <c r="J570" s="1743"/>
      <c r="K570" s="1743"/>
      <c r="L570" s="1743"/>
      <c r="M570" s="1743"/>
      <c r="N570" s="1743"/>
      <c r="O570" s="1743"/>
      <c r="P570" s="1743"/>
      <c r="Q570" s="1743"/>
      <c r="R570" s="1743"/>
      <c r="S570" s="1743"/>
      <c r="T570" s="1743"/>
      <c r="U570" s="1744"/>
      <c r="V570" s="1743"/>
      <c r="W570" s="1743"/>
      <c r="X570" s="1743"/>
      <c r="Y570" s="1743"/>
      <c r="Z570" s="1743"/>
      <c r="AA570" s="1743"/>
      <c r="AB570" s="1743"/>
      <c r="AC570" s="1743"/>
      <c r="AD570" s="1743"/>
      <c r="AE570" s="1743"/>
      <c r="AF570" s="1743"/>
      <c r="AG570" s="1743"/>
      <c r="AH570" s="1743"/>
      <c r="AI570" s="1743"/>
      <c r="AJ570" s="1743"/>
      <c r="AK570" s="1743"/>
      <c r="AL570" s="1745"/>
      <c r="AM570" s="1657">
        <f>SUM(AM558:AS569)</f>
        <v>38835549</v>
      </c>
      <c r="AN570" s="1658"/>
      <c r="AO570" s="1658"/>
      <c r="AP570" s="1658"/>
      <c r="AQ570" s="1658"/>
      <c r="AR570" s="1658"/>
      <c r="AS570" s="165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2"/>
      <c r="AF571" s="1392"/>
      <c r="AG571" s="1392"/>
      <c r="AH571" s="1392"/>
      <c r="AI571" s="1392"/>
      <c r="AJ571" s="1392"/>
      <c r="AK571" s="1392"/>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1004</v>
      </c>
      <c r="B572" s="16" t="s">
        <v>93</v>
      </c>
      <c r="G572" s="1700" t="str">
        <f>C558</f>
        <v>JPMorgan Chase Bank / Construction Loan</v>
      </c>
      <c r="H572" s="1700"/>
      <c r="I572" s="1700"/>
      <c r="J572" s="1700"/>
      <c r="K572" s="1700"/>
      <c r="L572" s="1700"/>
      <c r="M572" s="1700"/>
      <c r="N572" s="1700"/>
      <c r="O572" s="1700"/>
      <c r="P572" s="1700"/>
      <c r="Q572" s="1700"/>
      <c r="R572" s="1700"/>
      <c r="S572" s="18"/>
      <c r="T572" s="101" t="s">
        <v>1005</v>
      </c>
      <c r="U572" s="16" t="s">
        <v>93</v>
      </c>
      <c r="Z572" s="1700" t="str">
        <f>C559</f>
        <v>The City of Montebello / City Land Note</v>
      </c>
      <c r="AA572" s="1700"/>
      <c r="AB572" s="1700"/>
      <c r="AC572" s="1700"/>
      <c r="AD572" s="1700"/>
      <c r="AE572" s="1700"/>
      <c r="AF572" s="1700"/>
      <c r="AG572" s="1700"/>
      <c r="AH572" s="1700"/>
      <c r="AI572" s="1700"/>
      <c r="AJ572" s="1700"/>
      <c r="AK572" s="17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697" t="s">
        <v>2392</v>
      </c>
      <c r="H573" s="1697"/>
      <c r="I573" s="1697"/>
      <c r="J573" s="1697"/>
      <c r="K573" s="1697"/>
      <c r="L573" s="1697"/>
      <c r="M573" s="1697"/>
      <c r="N573" s="1697"/>
      <c r="O573" s="1697"/>
      <c r="P573" s="1697"/>
      <c r="Q573" s="1697"/>
      <c r="R573" s="1697"/>
      <c r="S573" s="18"/>
      <c r="T573" s="46"/>
      <c r="U573" s="16" t="s">
        <v>416</v>
      </c>
      <c r="Z573" s="1697" t="s">
        <v>2393</v>
      </c>
      <c r="AA573" s="1697"/>
      <c r="AB573" s="1697"/>
      <c r="AC573" s="1697"/>
      <c r="AD573" s="1697"/>
      <c r="AE573" s="1697"/>
      <c r="AF573" s="1697"/>
      <c r="AG573" s="1697"/>
      <c r="AH573" s="1697"/>
      <c r="AI573" s="1697"/>
      <c r="AJ573" s="1697"/>
      <c r="AK573" s="169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697" t="s">
        <v>125</v>
      </c>
      <c r="H574" s="1697"/>
      <c r="I574" s="1697"/>
      <c r="J574" s="1697"/>
      <c r="K574" s="1697"/>
      <c r="L574" s="1697"/>
      <c r="M574" s="1697"/>
      <c r="N574" s="1697"/>
      <c r="O574" s="1697"/>
      <c r="P574" s="1697"/>
      <c r="Q574" s="1697"/>
      <c r="R574" s="1697"/>
      <c r="S574" s="102"/>
      <c r="T574" s="46"/>
      <c r="U574" s="16" t="s">
        <v>479</v>
      </c>
      <c r="Z574" s="1705" t="s">
        <v>2336</v>
      </c>
      <c r="AA574" s="1705"/>
      <c r="AB574" s="1705"/>
      <c r="AC574" s="1705"/>
      <c r="AD574" s="1705"/>
      <c r="AE574" s="1705"/>
      <c r="AF574" s="1705"/>
      <c r="AG574" s="1705"/>
      <c r="AH574" s="1705"/>
      <c r="AI574" s="1705"/>
      <c r="AJ574" s="1705"/>
      <c r="AK574" s="170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915</v>
      </c>
      <c r="G575" s="1697" t="s">
        <v>2394</v>
      </c>
      <c r="H575" s="1697"/>
      <c r="I575" s="1697"/>
      <c r="J575" s="1697"/>
      <c r="K575" s="1697"/>
      <c r="L575" s="1697"/>
      <c r="M575" s="1697"/>
      <c r="N575" s="1697"/>
      <c r="O575" s="1697"/>
      <c r="P575" s="1697"/>
      <c r="Q575" s="1697"/>
      <c r="R575" s="1697"/>
      <c r="S575" s="18"/>
      <c r="T575" s="46"/>
      <c r="U575" s="16" t="s">
        <v>915</v>
      </c>
      <c r="Z575" s="1705" t="s">
        <v>2395</v>
      </c>
      <c r="AA575" s="1705"/>
      <c r="AB575" s="1705"/>
      <c r="AC575" s="1705"/>
      <c r="AD575" s="1705"/>
      <c r="AE575" s="1705"/>
      <c r="AF575" s="1705"/>
      <c r="AG575" s="1705"/>
      <c r="AH575" s="1705"/>
      <c r="AI575" s="1705"/>
      <c r="AJ575" s="1705"/>
      <c r="AK575" s="170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98" t="s">
        <v>2396</v>
      </c>
      <c r="H576" s="1699"/>
      <c r="I576" s="1699"/>
      <c r="J576" s="1699"/>
      <c r="K576" s="1699"/>
      <c r="L576" s="1699"/>
      <c r="O576" s="149" t="s">
        <v>900</v>
      </c>
      <c r="P576" s="1695"/>
      <c r="Q576" s="1695"/>
      <c r="R576" s="1695"/>
      <c r="S576" s="20"/>
      <c r="T576" s="46"/>
      <c r="U576" s="16" t="s">
        <v>716</v>
      </c>
      <c r="Z576" s="1698" t="s">
        <v>2397</v>
      </c>
      <c r="AA576" s="1699"/>
      <c r="AB576" s="1699"/>
      <c r="AC576" s="1699"/>
      <c r="AD576" s="1699"/>
      <c r="AE576" s="1699"/>
      <c r="AH576" s="149" t="s">
        <v>900</v>
      </c>
      <c r="AI576" s="1695"/>
      <c r="AJ576" s="1695"/>
      <c r="AK576" s="169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97" t="s">
        <v>2402</v>
      </c>
      <c r="I577" s="1697"/>
      <c r="J577" s="1697"/>
      <c r="K577" s="1697"/>
      <c r="L577" s="1697"/>
      <c r="M577" s="1697"/>
      <c r="N577" s="1697"/>
      <c r="O577" s="1697"/>
      <c r="P577" s="1697"/>
      <c r="Q577" s="1697"/>
      <c r="R577" s="1697"/>
      <c r="S577" s="18"/>
      <c r="T577" s="46"/>
      <c r="U577" s="16" t="s">
        <v>916</v>
      </c>
      <c r="AA577" s="1697" t="s">
        <v>2403</v>
      </c>
      <c r="AB577" s="1697"/>
      <c r="AC577" s="1697"/>
      <c r="AD577" s="1697"/>
      <c r="AE577" s="1697"/>
      <c r="AF577" s="1697"/>
      <c r="AG577" s="1697"/>
      <c r="AH577" s="1697"/>
      <c r="AI577" s="1697"/>
      <c r="AJ577" s="1697"/>
      <c r="AK577" s="169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96" t="s">
        <v>119</v>
      </c>
      <c r="O578" s="1696"/>
      <c r="T578" s="46"/>
      <c r="U578" s="16" t="s">
        <v>918</v>
      </c>
      <c r="AG578" s="1696" t="s">
        <v>119</v>
      </c>
      <c r="AH578" s="169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700" t="str">
        <f>C560</f>
        <v>The City of Montebello / Impact Fee Loan</v>
      </c>
      <c r="H580" s="1700"/>
      <c r="I580" s="1700"/>
      <c r="J580" s="1700"/>
      <c r="K580" s="1700"/>
      <c r="L580" s="1700"/>
      <c r="M580" s="1700"/>
      <c r="N580" s="1700"/>
      <c r="O580" s="1700"/>
      <c r="P580" s="1700"/>
      <c r="Q580" s="1700"/>
      <c r="R580" s="1700"/>
      <c r="T580" s="101" t="s">
        <v>480</v>
      </c>
      <c r="U580" s="16" t="s">
        <v>93</v>
      </c>
      <c r="Z580" s="1700" t="str">
        <f>C561</f>
        <v>Deferred Fees &amp; Costs</v>
      </c>
      <c r="AA580" s="1700"/>
      <c r="AB580" s="1700"/>
      <c r="AC580" s="1700"/>
      <c r="AD580" s="1700"/>
      <c r="AE580" s="1700"/>
      <c r="AF580" s="1700"/>
      <c r="AG580" s="1700"/>
      <c r="AH580" s="1700"/>
      <c r="AI580" s="1700"/>
      <c r="AJ580" s="1700"/>
      <c r="AK580" s="17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97" t="s">
        <v>2393</v>
      </c>
      <c r="H581" s="1697"/>
      <c r="I581" s="1697"/>
      <c r="J581" s="1697"/>
      <c r="K581" s="1697"/>
      <c r="L581" s="1697"/>
      <c r="M581" s="1697"/>
      <c r="N581" s="1697"/>
      <c r="O581" s="1697"/>
      <c r="P581" s="1697"/>
      <c r="Q581" s="1697"/>
      <c r="R581" s="1697"/>
      <c r="T581" s="46"/>
      <c r="U581" s="16" t="s">
        <v>416</v>
      </c>
      <c r="Z581" s="1697" t="s">
        <v>2501</v>
      </c>
      <c r="AA581" s="1697"/>
      <c r="AB581" s="1697"/>
      <c r="AC581" s="1697"/>
      <c r="AD581" s="1697"/>
      <c r="AE581" s="1697"/>
      <c r="AF581" s="1697"/>
      <c r="AG581" s="1697"/>
      <c r="AH581" s="1697"/>
      <c r="AI581" s="1697"/>
      <c r="AJ581" s="1697"/>
      <c r="AK581" s="169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705" t="s">
        <v>2336</v>
      </c>
      <c r="H582" s="1705"/>
      <c r="I582" s="1705"/>
      <c r="J582" s="1705"/>
      <c r="K582" s="1705"/>
      <c r="L582" s="1705"/>
      <c r="M582" s="1705"/>
      <c r="N582" s="1705"/>
      <c r="O582" s="1705"/>
      <c r="P582" s="1705"/>
      <c r="Q582" s="1705"/>
      <c r="R582" s="1705"/>
      <c r="T582" s="46"/>
      <c r="U582" s="16" t="s">
        <v>479</v>
      </c>
      <c r="Z582" s="1705" t="s">
        <v>448</v>
      </c>
      <c r="AA582" s="1705"/>
      <c r="AB582" s="1705"/>
      <c r="AC582" s="1705"/>
      <c r="AD582" s="1705"/>
      <c r="AE582" s="1705"/>
      <c r="AF582" s="1705"/>
      <c r="AG582" s="1705"/>
      <c r="AH582" s="1705"/>
      <c r="AI582" s="1705"/>
      <c r="AJ582" s="1705"/>
      <c r="AK582" s="170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705" t="s">
        <v>2395</v>
      </c>
      <c r="H583" s="1705"/>
      <c r="I583" s="1705"/>
      <c r="J583" s="1705"/>
      <c r="K583" s="1705"/>
      <c r="L583" s="1705"/>
      <c r="M583" s="1705"/>
      <c r="N583" s="1705"/>
      <c r="O583" s="1705"/>
      <c r="P583" s="1705"/>
      <c r="Q583" s="1705"/>
      <c r="R583" s="1705"/>
      <c r="T583" s="46"/>
      <c r="U583" s="16" t="s">
        <v>915</v>
      </c>
      <c r="Z583" s="1705" t="s">
        <v>2500</v>
      </c>
      <c r="AA583" s="1705"/>
      <c r="AB583" s="1705"/>
      <c r="AC583" s="1705"/>
      <c r="AD583" s="1705"/>
      <c r="AE583" s="1705"/>
      <c r="AF583" s="1705"/>
      <c r="AG583" s="1705"/>
      <c r="AH583" s="1705"/>
      <c r="AI583" s="1705"/>
      <c r="AJ583" s="1705"/>
      <c r="AK583" s="17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98" t="s">
        <v>2397</v>
      </c>
      <c r="H584" s="1699"/>
      <c r="I584" s="1699"/>
      <c r="J584" s="1699"/>
      <c r="K584" s="1699"/>
      <c r="L584" s="1699"/>
      <c r="O584" s="149" t="s">
        <v>900</v>
      </c>
      <c r="P584" s="1695"/>
      <c r="Q584" s="1695"/>
      <c r="R584" s="1695"/>
      <c r="T584" s="46"/>
      <c r="U584" s="16" t="s">
        <v>716</v>
      </c>
      <c r="Z584" s="1698" t="s">
        <v>2348</v>
      </c>
      <c r="AA584" s="1699"/>
      <c r="AB584" s="1699"/>
      <c r="AC584" s="1699"/>
      <c r="AD584" s="1699"/>
      <c r="AE584" s="1699"/>
      <c r="AH584" s="149" t="s">
        <v>900</v>
      </c>
      <c r="AI584" s="1695">
        <v>2200</v>
      </c>
      <c r="AJ584" s="1695"/>
      <c r="AK584" s="169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97" t="s">
        <v>2403</v>
      </c>
      <c r="I585" s="1697"/>
      <c r="J585" s="1697"/>
      <c r="K585" s="1697"/>
      <c r="L585" s="1697"/>
      <c r="M585" s="1697"/>
      <c r="N585" s="1697"/>
      <c r="O585" s="1697"/>
      <c r="P585" s="1697"/>
      <c r="Q585" s="1697"/>
      <c r="R585" s="1697"/>
      <c r="T585" s="46"/>
      <c r="U585" s="16" t="s">
        <v>916</v>
      </c>
      <c r="AA585" s="1697" t="s">
        <v>2403</v>
      </c>
      <c r="AB585" s="1697"/>
      <c r="AC585" s="1697"/>
      <c r="AD585" s="1697"/>
      <c r="AE585" s="1697"/>
      <c r="AF585" s="1697"/>
      <c r="AG585" s="1697"/>
      <c r="AH585" s="1697"/>
      <c r="AI585" s="1697"/>
      <c r="AJ585" s="1697"/>
      <c r="AK585" s="169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664" t="s">
        <v>119</v>
      </c>
      <c r="O586" s="1664"/>
      <c r="T586" s="46"/>
      <c r="U586" s="16" t="s">
        <v>918</v>
      </c>
      <c r="AG586" s="1664" t="s">
        <v>119</v>
      </c>
      <c r="AH586" s="1664"/>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700" t="str">
        <f>C562</f>
        <v>Boston Financial / Equity</v>
      </c>
      <c r="H588" s="1700"/>
      <c r="I588" s="1700"/>
      <c r="J588" s="1700"/>
      <c r="K588" s="1700"/>
      <c r="L588" s="1700"/>
      <c r="M588" s="1700"/>
      <c r="N588" s="1700"/>
      <c r="O588" s="1700"/>
      <c r="P588" s="1700"/>
      <c r="Q588" s="1700"/>
      <c r="R588" s="1700"/>
      <c r="T588" s="101" t="s">
        <v>483</v>
      </c>
      <c r="U588" s="16" t="s">
        <v>93</v>
      </c>
      <c r="Z588" s="1700">
        <f>C563</f>
        <v>0</v>
      </c>
      <c r="AA588" s="1700"/>
      <c r="AB588" s="1700"/>
      <c r="AC588" s="1700"/>
      <c r="AD588" s="1700"/>
      <c r="AE588" s="1700"/>
      <c r="AF588" s="1700"/>
      <c r="AG588" s="1700"/>
      <c r="AH588" s="1700"/>
      <c r="AI588" s="1700"/>
      <c r="AJ588" s="1700"/>
      <c r="AK588" s="170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97" t="s">
        <v>2398</v>
      </c>
      <c r="H589" s="1697"/>
      <c r="I589" s="1697"/>
      <c r="J589" s="1697"/>
      <c r="K589" s="1697"/>
      <c r="L589" s="1697"/>
      <c r="M589" s="1697"/>
      <c r="N589" s="1697"/>
      <c r="O589" s="1697"/>
      <c r="P589" s="1697"/>
      <c r="Q589" s="1697"/>
      <c r="R589" s="1697"/>
      <c r="T589" s="46"/>
      <c r="U589" s="16" t="s">
        <v>416</v>
      </c>
      <c r="Z589" s="1697"/>
      <c r="AA589" s="1697"/>
      <c r="AB589" s="1697"/>
      <c r="AC589" s="1697"/>
      <c r="AD589" s="1697"/>
      <c r="AE589" s="1697"/>
      <c r="AF589" s="1697"/>
      <c r="AG589" s="1697"/>
      <c r="AH589" s="1697"/>
      <c r="AI589" s="1697"/>
      <c r="AJ589" s="1697"/>
      <c r="AK589" s="169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97" t="s">
        <v>2399</v>
      </c>
      <c r="H590" s="1697"/>
      <c r="I590" s="1697"/>
      <c r="J590" s="1697"/>
      <c r="K590" s="1697"/>
      <c r="L590" s="1697"/>
      <c r="M590" s="1697"/>
      <c r="N590" s="1697"/>
      <c r="O590" s="1697"/>
      <c r="P590" s="1697"/>
      <c r="Q590" s="1697"/>
      <c r="R590" s="1697"/>
      <c r="T590" s="46"/>
      <c r="U590" s="16" t="s">
        <v>479</v>
      </c>
      <c r="Z590" s="1705"/>
      <c r="AA590" s="1705"/>
      <c r="AB590" s="1705"/>
      <c r="AC590" s="1705"/>
      <c r="AD590" s="1705"/>
      <c r="AE590" s="1705"/>
      <c r="AF590" s="1705"/>
      <c r="AG590" s="1705"/>
      <c r="AH590" s="1705"/>
      <c r="AI590" s="1705"/>
      <c r="AJ590" s="1705"/>
      <c r="AK590" s="170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97" t="s">
        <v>2462</v>
      </c>
      <c r="H591" s="1697"/>
      <c r="I591" s="1697"/>
      <c r="J591" s="1697"/>
      <c r="K591" s="1697"/>
      <c r="L591" s="1697"/>
      <c r="M591" s="1697"/>
      <c r="N591" s="1697"/>
      <c r="O591" s="1697"/>
      <c r="P591" s="1697"/>
      <c r="Q591" s="1697"/>
      <c r="R591" s="1697"/>
      <c r="T591" s="46"/>
      <c r="U591" s="16" t="s">
        <v>915</v>
      </c>
      <c r="Z591" s="1705"/>
      <c r="AA591" s="1705"/>
      <c r="AB591" s="1705"/>
      <c r="AC591" s="1705"/>
      <c r="AD591" s="1705"/>
      <c r="AE591" s="1705"/>
      <c r="AF591" s="1705"/>
      <c r="AG591" s="1705"/>
      <c r="AH591" s="1705"/>
      <c r="AI591" s="1705"/>
      <c r="AJ591" s="1705"/>
      <c r="AK591" s="170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716</v>
      </c>
      <c r="G592" s="1698" t="s">
        <v>2400</v>
      </c>
      <c r="H592" s="1699"/>
      <c r="I592" s="1699"/>
      <c r="J592" s="1699"/>
      <c r="K592" s="1699"/>
      <c r="L592" s="1699"/>
      <c r="O592" s="149" t="s">
        <v>900</v>
      </c>
      <c r="P592" s="1695"/>
      <c r="Q592" s="1695"/>
      <c r="R592" s="1695"/>
      <c r="T592" s="46"/>
      <c r="U592" s="16" t="s">
        <v>716</v>
      </c>
      <c r="Z592" s="1699"/>
      <c r="AA592" s="1699"/>
      <c r="AB592" s="1699"/>
      <c r="AC592" s="1699"/>
      <c r="AD592" s="1699"/>
      <c r="AE592" s="1699"/>
      <c r="AH592" s="149" t="s">
        <v>900</v>
      </c>
      <c r="AI592" s="1695"/>
      <c r="AJ592" s="1695"/>
      <c r="AK592" s="169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916</v>
      </c>
      <c r="H593" s="1697" t="s">
        <v>2401</v>
      </c>
      <c r="I593" s="1697"/>
      <c r="J593" s="1697"/>
      <c r="K593" s="1697"/>
      <c r="L593" s="1697"/>
      <c r="M593" s="1697"/>
      <c r="N593" s="1697"/>
      <c r="O593" s="1697"/>
      <c r="P593" s="1697"/>
      <c r="Q593" s="1697"/>
      <c r="R593" s="1697"/>
      <c r="T593" s="46"/>
      <c r="U593" s="16" t="s">
        <v>916</v>
      </c>
      <c r="AA593" s="1697"/>
      <c r="AB593" s="1697"/>
      <c r="AC593" s="1697"/>
      <c r="AD593" s="1697"/>
      <c r="AE593" s="1697"/>
      <c r="AF593" s="1697"/>
      <c r="AG593" s="1697"/>
      <c r="AH593" s="1697"/>
      <c r="AI593" s="1697"/>
      <c r="AJ593" s="1697"/>
      <c r="AK593" s="169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918</v>
      </c>
      <c r="N594" s="1664" t="s">
        <v>119</v>
      </c>
      <c r="O594" s="1664"/>
      <c r="T594" s="46"/>
      <c r="U594" s="16" t="s">
        <v>918</v>
      </c>
      <c r="AG594" s="1664" t="s">
        <v>531</v>
      </c>
      <c r="AH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700">
        <f>C564</f>
        <v>0</v>
      </c>
      <c r="H596" s="1700"/>
      <c r="I596" s="1700"/>
      <c r="J596" s="1700"/>
      <c r="K596" s="1700"/>
      <c r="L596" s="1700"/>
      <c r="M596" s="1700"/>
      <c r="N596" s="1700"/>
      <c r="O596" s="1700"/>
      <c r="P596" s="1700"/>
      <c r="Q596" s="1700"/>
      <c r="R596" s="1700"/>
      <c r="T596" s="101" t="s">
        <v>811</v>
      </c>
      <c r="U596" s="16" t="s">
        <v>93</v>
      </c>
      <c r="Z596" s="1700">
        <f>C565</f>
        <v>0</v>
      </c>
      <c r="AA596" s="1700"/>
      <c r="AB596" s="1700"/>
      <c r="AC596" s="1700"/>
      <c r="AD596" s="1700"/>
      <c r="AE596" s="1700"/>
      <c r="AF596" s="1700"/>
      <c r="AG596" s="1700"/>
      <c r="AH596" s="1700"/>
      <c r="AI596" s="1700"/>
      <c r="AJ596" s="1700"/>
      <c r="AK596" s="170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697"/>
      <c r="H597" s="1697"/>
      <c r="I597" s="1697"/>
      <c r="J597" s="1697"/>
      <c r="K597" s="1697"/>
      <c r="L597" s="1697"/>
      <c r="M597" s="1697"/>
      <c r="N597" s="1697"/>
      <c r="O597" s="1697"/>
      <c r="P597" s="1697"/>
      <c r="Q597" s="1697"/>
      <c r="R597" s="1697"/>
      <c r="T597" s="46"/>
      <c r="U597" s="16" t="s">
        <v>416</v>
      </c>
      <c r="Z597" s="1697"/>
      <c r="AA597" s="1697"/>
      <c r="AB597" s="1697"/>
      <c r="AC597" s="1697"/>
      <c r="AD597" s="1697"/>
      <c r="AE597" s="1697"/>
      <c r="AF597" s="1697"/>
      <c r="AG597" s="1697"/>
      <c r="AH597" s="1697"/>
      <c r="AI597" s="1697"/>
      <c r="AJ597" s="1697"/>
      <c r="AK597" s="169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97"/>
      <c r="H598" s="1697"/>
      <c r="I598" s="1697"/>
      <c r="J598" s="1697"/>
      <c r="K598" s="1697"/>
      <c r="L598" s="1697"/>
      <c r="M598" s="1697"/>
      <c r="N598" s="1697"/>
      <c r="O598" s="1697"/>
      <c r="P598" s="1697"/>
      <c r="Q598" s="1697"/>
      <c r="R598" s="1697"/>
      <c r="S598" s="16"/>
      <c r="T598" s="46"/>
      <c r="U598" s="16" t="s">
        <v>479</v>
      </c>
      <c r="V598" s="16"/>
      <c r="W598" s="16"/>
      <c r="X598" s="16"/>
      <c r="Y598" s="16"/>
      <c r="Z598" s="1705"/>
      <c r="AA598" s="1705"/>
      <c r="AB598" s="1705"/>
      <c r="AC598" s="1705"/>
      <c r="AD598" s="1705"/>
      <c r="AE598" s="1705"/>
      <c r="AF598" s="1705"/>
      <c r="AG598" s="1705"/>
      <c r="AH598" s="1705"/>
      <c r="AI598" s="1705"/>
      <c r="AJ598" s="1705"/>
      <c r="AK598" s="170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915</v>
      </c>
      <c r="C599" s="16"/>
      <c r="D599" s="16"/>
      <c r="E599" s="16"/>
      <c r="F599" s="16"/>
      <c r="G599" s="1697"/>
      <c r="H599" s="1697"/>
      <c r="I599" s="1697"/>
      <c r="J599" s="1697"/>
      <c r="K599" s="1697"/>
      <c r="L599" s="1697"/>
      <c r="M599" s="1697"/>
      <c r="N599" s="1697"/>
      <c r="O599" s="1697"/>
      <c r="P599" s="1697"/>
      <c r="Q599" s="1697"/>
      <c r="R599" s="1697"/>
      <c r="S599" s="16"/>
      <c r="T599" s="46"/>
      <c r="U599" s="16" t="s">
        <v>915</v>
      </c>
      <c r="V599" s="16"/>
      <c r="W599" s="16"/>
      <c r="X599" s="16"/>
      <c r="Y599" s="16"/>
      <c r="Z599" s="1705"/>
      <c r="AA599" s="1705"/>
      <c r="AB599" s="1705"/>
      <c r="AC599" s="1705"/>
      <c r="AD599" s="1705"/>
      <c r="AE599" s="1705"/>
      <c r="AF599" s="1705"/>
      <c r="AG599" s="1705"/>
      <c r="AH599" s="1705"/>
      <c r="AI599" s="1705"/>
      <c r="AJ599" s="1705"/>
      <c r="AK599" s="1705"/>
      <c r="AL599" s="16"/>
      <c r="AM599" s="72"/>
      <c r="AN599" s="72"/>
      <c r="AO599" s="72"/>
      <c r="AP599" s="72"/>
      <c r="AQ599" s="72"/>
      <c r="AR599" s="72"/>
      <c r="AS599" s="72"/>
      <c r="AT599" s="72"/>
      <c r="AU599" s="72"/>
      <c r="AV599" s="72"/>
      <c r="AW599" s="72"/>
      <c r="AX599" s="72"/>
      <c r="AY599" s="72"/>
      <c r="AZ599" s="72"/>
      <c r="BN599" s="1438" t="s">
        <v>468</v>
      </c>
      <c r="BO599" s="1438"/>
      <c r="BP599" s="1438"/>
      <c r="BQ599" s="1439"/>
      <c r="BR599" s="1440"/>
      <c r="BS599" s="1438" t="s">
        <v>491</v>
      </c>
      <c r="BT599" s="1438"/>
      <c r="BU599" s="1438"/>
      <c r="BV599" s="1439"/>
      <c r="BW599" s="1440"/>
      <c r="BX599" s="1440" t="s">
        <v>853</v>
      </c>
      <c r="BY599" s="1438"/>
      <c r="BZ599" s="1438"/>
      <c r="CA599" s="1438"/>
      <c r="CB599" s="1438"/>
      <c r="CC599" s="1438" t="s">
        <v>854</v>
      </c>
      <c r="CD599" s="1438"/>
      <c r="CE599" s="1438"/>
      <c r="CF599" s="1438"/>
      <c r="CG599" s="1438"/>
      <c r="CH599" s="1438" t="s">
        <v>867</v>
      </c>
      <c r="CI599" s="1438"/>
      <c r="CJ599" s="1438"/>
      <c r="CK599" s="1438"/>
      <c r="CL599" s="1438"/>
      <c r="CM599" s="1438" t="s">
        <v>383</v>
      </c>
      <c r="CN599" s="1438"/>
      <c r="CO599" s="1438"/>
      <c r="CP599" s="1439"/>
      <c r="CQ599" s="1440"/>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716</v>
      </c>
      <c r="C600" s="16"/>
      <c r="D600" s="16"/>
      <c r="E600" s="16"/>
      <c r="F600" s="16"/>
      <c r="G600" s="1699"/>
      <c r="H600" s="1699"/>
      <c r="I600" s="1699"/>
      <c r="J600" s="1699"/>
      <c r="K600" s="1699"/>
      <c r="L600" s="1699"/>
      <c r="M600" s="16"/>
      <c r="N600" s="16"/>
      <c r="O600" s="149" t="s">
        <v>900</v>
      </c>
      <c r="P600" s="1695"/>
      <c r="Q600" s="1695"/>
      <c r="R600" s="1695"/>
      <c r="S600" s="16"/>
      <c r="T600" s="46"/>
      <c r="U600" s="16" t="s">
        <v>716</v>
      </c>
      <c r="V600" s="16"/>
      <c r="W600" s="16"/>
      <c r="X600" s="16"/>
      <c r="Y600" s="16"/>
      <c r="Z600" s="1699"/>
      <c r="AA600" s="1699"/>
      <c r="AB600" s="1699"/>
      <c r="AC600" s="1699"/>
      <c r="AD600" s="1699"/>
      <c r="AE600" s="1699"/>
      <c r="AF600" s="16"/>
      <c r="AG600" s="16"/>
      <c r="AH600" s="149" t="s">
        <v>900</v>
      </c>
      <c r="AI600" s="1695"/>
      <c r="AJ600" s="1695"/>
      <c r="AK600" s="1695"/>
      <c r="AL600" s="16"/>
      <c r="AZ600" s="8" t="s">
        <v>490</v>
      </c>
      <c r="BA600" s="72"/>
      <c r="BB600" s="72"/>
      <c r="BC600" s="72"/>
      <c r="BD600" s="72"/>
      <c r="BE600" s="334" t="s">
        <v>392</v>
      </c>
      <c r="BF600" s="335"/>
      <c r="BG600" s="1727"/>
      <c r="BH600" s="1729"/>
      <c r="BI600" s="334" t="s">
        <v>393</v>
      </c>
      <c r="BJ600" s="335"/>
      <c r="BK600" s="1727"/>
      <c r="BL600" s="1729"/>
      <c r="BN600" s="1727">
        <f t="shared" ref="BN600:BN624" si="0">IF(B704="SRO/Studio",G704,0)</f>
        <v>0</v>
      </c>
      <c r="BO600" s="1728"/>
      <c r="BP600" s="1728"/>
      <c r="BQ600" s="1728"/>
      <c r="BR600" s="1736"/>
      <c r="BS600" s="1727">
        <f t="shared" ref="BS600:BS624" si="1">IF(B704="1 Bedroom",G704,0)</f>
        <v>13</v>
      </c>
      <c r="BT600" s="1728"/>
      <c r="BU600" s="1728"/>
      <c r="BV600" s="1728"/>
      <c r="BW600" s="1729"/>
      <c r="BX600" s="1727">
        <f t="shared" ref="BX600:BX624" si="2">IF(B704="2 Bedrooms",G704,0)</f>
        <v>0</v>
      </c>
      <c r="BY600" s="1728"/>
      <c r="BZ600" s="1728"/>
      <c r="CA600" s="1728"/>
      <c r="CB600" s="1729"/>
      <c r="CC600" s="1727">
        <f t="shared" ref="CC600:CC624" si="3">IF(B704="3 Bedrooms",G704,0)</f>
        <v>0</v>
      </c>
      <c r="CD600" s="1728"/>
      <c r="CE600" s="1728"/>
      <c r="CF600" s="1728"/>
      <c r="CG600" s="1729"/>
      <c r="CH600" s="1727">
        <f t="shared" ref="CH600:CH624" si="4">IF(B704="4 Bedrooms",G704,0)</f>
        <v>0</v>
      </c>
      <c r="CI600" s="1728"/>
      <c r="CJ600" s="1728"/>
      <c r="CK600" s="1728"/>
      <c r="CL600" s="1729"/>
      <c r="CM600" s="1737">
        <f t="shared" ref="CM600:CM624" si="5">IF(B704="5 Bedrooms",G704,0)</f>
        <v>0</v>
      </c>
      <c r="CN600" s="1738"/>
      <c r="CO600" s="1738"/>
      <c r="CP600" s="1738"/>
      <c r="CQ600" s="1736"/>
      <c r="CS600" s="1438" t="s">
        <v>468</v>
      </c>
      <c r="CT600" s="1438"/>
      <c r="CU600" s="1438"/>
      <c r="CV600" s="1438"/>
      <c r="CW600" s="1438"/>
      <c r="CX600" s="1438" t="s">
        <v>491</v>
      </c>
      <c r="CY600" s="1438"/>
      <c r="CZ600" s="1439"/>
      <c r="DA600" s="1441"/>
      <c r="DB600" s="1440"/>
      <c r="DC600" s="1438" t="s">
        <v>853</v>
      </c>
      <c r="DD600" s="1438"/>
      <c r="DE600" s="1438"/>
      <c r="DF600" s="1438"/>
      <c r="DG600" s="1438"/>
      <c r="DH600" s="1438" t="s">
        <v>854</v>
      </c>
      <c r="DI600" s="1438"/>
      <c r="DJ600" s="1438"/>
      <c r="DK600" s="1438"/>
      <c r="DL600" s="1438"/>
      <c r="DM600" s="1438" t="s">
        <v>867</v>
      </c>
      <c r="DN600" s="1438"/>
      <c r="DO600" s="1438"/>
      <c r="DP600" s="1438"/>
      <c r="DQ600" s="1438"/>
      <c r="DR600" s="1438" t="s">
        <v>383</v>
      </c>
      <c r="DS600" s="1438"/>
      <c r="DT600" s="1438"/>
      <c r="DU600" s="1438"/>
      <c r="DV600" s="1438"/>
    </row>
    <row r="601" spans="1:126" s="8" customFormat="1" ht="13.2">
      <c r="A601" s="46"/>
      <c r="B601" s="16" t="s">
        <v>916</v>
      </c>
      <c r="C601" s="16"/>
      <c r="D601" s="16"/>
      <c r="E601" s="16"/>
      <c r="F601" s="16"/>
      <c r="G601" s="16"/>
      <c r="H601" s="1697"/>
      <c r="I601" s="1697"/>
      <c r="J601" s="1697"/>
      <c r="K601" s="1697"/>
      <c r="L601" s="1697"/>
      <c r="M601" s="1697"/>
      <c r="N601" s="1697"/>
      <c r="O601" s="1697"/>
      <c r="P601" s="1697"/>
      <c r="Q601" s="1697"/>
      <c r="R601" s="1697"/>
      <c r="S601" s="16"/>
      <c r="T601" s="46"/>
      <c r="U601" s="16" t="s">
        <v>916</v>
      </c>
      <c r="V601" s="16"/>
      <c r="W601" s="16"/>
      <c r="X601" s="16"/>
      <c r="Y601" s="16"/>
      <c r="Z601" s="16"/>
      <c r="AA601" s="1697"/>
      <c r="AB601" s="1697"/>
      <c r="AC601" s="1697"/>
      <c r="AD601" s="1697"/>
      <c r="AE601" s="1697"/>
      <c r="AF601" s="1697"/>
      <c r="AG601" s="1697"/>
      <c r="AH601" s="1697"/>
      <c r="AI601" s="1697"/>
      <c r="AJ601" s="1697"/>
      <c r="AK601" s="1697"/>
      <c r="AL601" s="16"/>
      <c r="AZ601" s="8" t="s">
        <v>491</v>
      </c>
      <c r="BA601" s="72"/>
      <c r="BB601" s="72"/>
      <c r="BC601" s="72"/>
      <c r="BD601" s="72"/>
      <c r="BE601" s="1733">
        <f>IF(AND(AH704&lt;=0.5,AH704&gt;=0.36),1,0)</f>
        <v>0</v>
      </c>
      <c r="BF601" s="1735"/>
      <c r="BG601" s="1727">
        <f t="shared" ref="BG601:BG625" si="6">IF(BE601=1,G704,0)</f>
        <v>0</v>
      </c>
      <c r="BH601" s="1729"/>
      <c r="BI601" s="1733">
        <f>IF(AND(AH704&lt;=0.35,AH704&gt;0),1,0)</f>
        <v>1</v>
      </c>
      <c r="BJ601" s="1735"/>
      <c r="BK601" s="1727">
        <f t="shared" ref="BK601:BK625" si="7">IF(BI601=1,G704,0)</f>
        <v>13</v>
      </c>
      <c r="BL601" s="1729"/>
      <c r="BN601" s="1727">
        <f t="shared" si="0"/>
        <v>0</v>
      </c>
      <c r="BO601" s="1728"/>
      <c r="BP601" s="1728"/>
      <c r="BQ601" s="1728"/>
      <c r="BR601" s="1736"/>
      <c r="BS601" s="1727">
        <f t="shared" si="1"/>
        <v>12</v>
      </c>
      <c r="BT601" s="1728"/>
      <c r="BU601" s="1728"/>
      <c r="BV601" s="1728"/>
      <c r="BW601" s="1729"/>
      <c r="BX601" s="1727">
        <f t="shared" si="2"/>
        <v>0</v>
      </c>
      <c r="BY601" s="1728"/>
      <c r="BZ601" s="1728"/>
      <c r="CA601" s="1728"/>
      <c r="CB601" s="1729"/>
      <c r="CC601" s="1727">
        <f t="shared" si="3"/>
        <v>0</v>
      </c>
      <c r="CD601" s="1728"/>
      <c r="CE601" s="1728"/>
      <c r="CF601" s="1728"/>
      <c r="CG601" s="1729"/>
      <c r="CH601" s="1727">
        <f t="shared" si="4"/>
        <v>0</v>
      </c>
      <c r="CI601" s="1728"/>
      <c r="CJ601" s="1728"/>
      <c r="CK601" s="1728"/>
      <c r="CL601" s="1729"/>
      <c r="CM601" s="1727">
        <f t="shared" si="5"/>
        <v>0</v>
      </c>
      <c r="CN601" s="1728"/>
      <c r="CO601" s="1728"/>
      <c r="CP601" s="1728"/>
      <c r="CQ601" s="1729"/>
      <c r="CS601" s="1739">
        <f>IF(AND(B704="SRO/Studio",AH704&lt;=0.3),G704,0)</f>
        <v>0</v>
      </c>
      <c r="CT601" s="1740"/>
      <c r="CU601" s="1740"/>
      <c r="CV601" s="1740"/>
      <c r="CW601" s="1741"/>
      <c r="CX601" s="1739">
        <f>IF(AND(B704="1 Bedroom",AH704&lt;=0.3),G704,0)</f>
        <v>13</v>
      </c>
      <c r="CY601" s="1740"/>
      <c r="CZ601" s="1740"/>
      <c r="DA601" s="1740"/>
      <c r="DB601" s="1741"/>
      <c r="DC601" s="1739">
        <f>IF(AND(B704="2 Bedrooms",AH704&lt;=0.3),G704,0)</f>
        <v>0</v>
      </c>
      <c r="DD601" s="1740"/>
      <c r="DE601" s="1740"/>
      <c r="DF601" s="1740"/>
      <c r="DG601" s="1741"/>
      <c r="DH601" s="1739">
        <f>IF(AND(B704="3 Bedrooms",AH704&lt;=0.3),G704,0)</f>
        <v>0</v>
      </c>
      <c r="DI601" s="1740"/>
      <c r="DJ601" s="1740"/>
      <c r="DK601" s="1740"/>
      <c r="DL601" s="1741"/>
      <c r="DM601" s="1739">
        <f>IF(AND(B704="4 Bedrooms",AH704&lt;=0.3),G704,0)</f>
        <v>0</v>
      </c>
      <c r="DN601" s="1740"/>
      <c r="DO601" s="1740"/>
      <c r="DP601" s="1740"/>
      <c r="DQ601" s="1741"/>
      <c r="DR601" s="1739">
        <f>IF(AND(B704="5 Bedrooms",AH704&lt;=0.3),G704,0)</f>
        <v>0</v>
      </c>
      <c r="DS601" s="1740"/>
      <c r="DT601" s="1740"/>
      <c r="DU601" s="1740"/>
      <c r="DV601" s="1741"/>
    </row>
    <row r="602" spans="1:126" s="8" customFormat="1" ht="13.2">
      <c r="A602" s="46"/>
      <c r="B602" s="16" t="s">
        <v>918</v>
      </c>
      <c r="C602" s="16"/>
      <c r="D602" s="16"/>
      <c r="E602" s="16"/>
      <c r="F602" s="16"/>
      <c r="G602" s="16"/>
      <c r="H602" s="16"/>
      <c r="I602" s="16"/>
      <c r="J602" s="16"/>
      <c r="K602" s="16"/>
      <c r="L602" s="16"/>
      <c r="M602" s="16"/>
      <c r="N602" s="1664" t="s">
        <v>531</v>
      </c>
      <c r="O602" s="1664"/>
      <c r="P602" s="16"/>
      <c r="Q602" s="16"/>
      <c r="R602" s="16"/>
      <c r="S602" s="16"/>
      <c r="T602" s="46"/>
      <c r="U602" s="16" t="s">
        <v>918</v>
      </c>
      <c r="V602" s="16"/>
      <c r="W602" s="16"/>
      <c r="X602" s="16"/>
      <c r="Y602" s="16"/>
      <c r="Z602" s="16"/>
      <c r="AA602" s="16"/>
      <c r="AB602" s="16"/>
      <c r="AC602" s="16"/>
      <c r="AD602" s="16"/>
      <c r="AE602" s="16"/>
      <c r="AF602" s="16"/>
      <c r="AG602" s="1664" t="s">
        <v>531</v>
      </c>
      <c r="AH602" s="1664"/>
      <c r="AI602" s="16"/>
      <c r="AJ602" s="16"/>
      <c r="AK602" s="16"/>
      <c r="AL602" s="16"/>
      <c r="AZ602" s="8" t="s">
        <v>853</v>
      </c>
      <c r="BA602" s="72"/>
      <c r="BB602" s="72"/>
      <c r="BC602" s="72"/>
      <c r="BD602" s="72"/>
      <c r="BE602" s="1733">
        <f t="shared" ref="BE602:BE625" si="8">IF(AND(AH705&lt;=0.5,AH705&gt;=0.36),1,0)</f>
        <v>1</v>
      </c>
      <c r="BF602" s="1735"/>
      <c r="BG602" s="1727">
        <f t="shared" si="6"/>
        <v>12</v>
      </c>
      <c r="BH602" s="1729"/>
      <c r="BI602" s="1733">
        <f t="shared" ref="BI602:BI625" si="9">IF(AND(AH705&lt;=0.35,AH705&gt;0),1,0)</f>
        <v>0</v>
      </c>
      <c r="BJ602" s="1735"/>
      <c r="BK602" s="1727">
        <f t="shared" si="7"/>
        <v>0</v>
      </c>
      <c r="BL602" s="1729"/>
      <c r="BN602" s="1727">
        <f t="shared" si="0"/>
        <v>0</v>
      </c>
      <c r="BO602" s="1728"/>
      <c r="BP602" s="1728"/>
      <c r="BQ602" s="1728"/>
      <c r="BR602" s="1736"/>
      <c r="BS602" s="1727">
        <f t="shared" si="1"/>
        <v>2</v>
      </c>
      <c r="BT602" s="1728"/>
      <c r="BU602" s="1728"/>
      <c r="BV602" s="1728"/>
      <c r="BW602" s="1729"/>
      <c r="BX602" s="1727">
        <f t="shared" si="2"/>
        <v>0</v>
      </c>
      <c r="BY602" s="1728"/>
      <c r="BZ602" s="1728"/>
      <c r="CA602" s="1728"/>
      <c r="CB602" s="1729"/>
      <c r="CC602" s="1727">
        <f t="shared" si="3"/>
        <v>0</v>
      </c>
      <c r="CD602" s="1728"/>
      <c r="CE602" s="1728"/>
      <c r="CF602" s="1728"/>
      <c r="CG602" s="1729"/>
      <c r="CH602" s="1727">
        <f t="shared" si="4"/>
        <v>0</v>
      </c>
      <c r="CI602" s="1728"/>
      <c r="CJ602" s="1728"/>
      <c r="CK602" s="1728"/>
      <c r="CL602" s="1729"/>
      <c r="CM602" s="1727">
        <f t="shared" si="5"/>
        <v>0</v>
      </c>
      <c r="CN602" s="1728"/>
      <c r="CO602" s="1728"/>
      <c r="CP602" s="1728"/>
      <c r="CQ602" s="1729"/>
      <c r="CS602" s="1739">
        <f t="shared" ref="CS602:CS625" si="10">IF(AND(B705="SRO/Studio",AH705&lt;=0.3),G705,0)</f>
        <v>0</v>
      </c>
      <c r="CT602" s="1740"/>
      <c r="CU602" s="1740"/>
      <c r="CV602" s="1740"/>
      <c r="CW602" s="1741"/>
      <c r="CX602" s="1739">
        <f t="shared" ref="CX602:CX625" si="11">IF(AND(B705="1 Bedroom",AH705&lt;=0.3),G705,0)</f>
        <v>0</v>
      </c>
      <c r="CY602" s="1740"/>
      <c r="CZ602" s="1740"/>
      <c r="DA602" s="1740"/>
      <c r="DB602" s="1741"/>
      <c r="DC602" s="1739">
        <f t="shared" ref="DC602:DC625" si="12">IF(AND(B705="2 Bedrooms",AH705&lt;=0.3),G705,0)</f>
        <v>0</v>
      </c>
      <c r="DD602" s="1740"/>
      <c r="DE602" s="1740"/>
      <c r="DF602" s="1740"/>
      <c r="DG602" s="1741"/>
      <c r="DH602" s="1739">
        <f t="shared" ref="DH602:DH625" si="13">IF(AND(B705="3 Bedrooms",AH705&lt;=0.3),G705,0)</f>
        <v>0</v>
      </c>
      <c r="DI602" s="1740"/>
      <c r="DJ602" s="1740"/>
      <c r="DK602" s="1740"/>
      <c r="DL602" s="1741"/>
      <c r="DM602" s="1739">
        <f t="shared" ref="DM602:DM625" si="14">IF(AND(B705="4 Bedrooms",AH705&lt;=0.3),G705,0)</f>
        <v>0</v>
      </c>
      <c r="DN602" s="1740"/>
      <c r="DO602" s="1740"/>
      <c r="DP602" s="1740"/>
      <c r="DQ602" s="1741"/>
      <c r="DR602" s="1739">
        <f t="shared" ref="DR602:DR625" si="15">IF(AND(B705="5 Bedrooms",AH705&lt;=0.3),G705,0)</f>
        <v>0</v>
      </c>
      <c r="DS602" s="1740"/>
      <c r="DT602" s="1740"/>
      <c r="DU602" s="1740"/>
      <c r="DV602" s="1741"/>
    </row>
    <row r="603" spans="1:126" ht="13.2">
      <c r="AZ603" s="8" t="s">
        <v>854</v>
      </c>
      <c r="BA603" s="72"/>
      <c r="BB603" s="72"/>
      <c r="BC603" s="72"/>
      <c r="BD603" s="72"/>
      <c r="BE603" s="1733">
        <f t="shared" si="8"/>
        <v>0</v>
      </c>
      <c r="BF603" s="1735"/>
      <c r="BG603" s="1727">
        <f t="shared" si="6"/>
        <v>0</v>
      </c>
      <c r="BH603" s="1729"/>
      <c r="BI603" s="1733">
        <f t="shared" si="9"/>
        <v>0</v>
      </c>
      <c r="BJ603" s="1735"/>
      <c r="BK603" s="1727">
        <f t="shared" si="7"/>
        <v>0</v>
      </c>
      <c r="BL603" s="1729"/>
      <c r="BN603" s="1727">
        <f t="shared" si="0"/>
        <v>0</v>
      </c>
      <c r="BO603" s="1728"/>
      <c r="BP603" s="1728"/>
      <c r="BQ603" s="1728"/>
      <c r="BR603" s="1736"/>
      <c r="BS603" s="1727">
        <f t="shared" si="1"/>
        <v>0</v>
      </c>
      <c r="BT603" s="1728"/>
      <c r="BU603" s="1728"/>
      <c r="BV603" s="1728"/>
      <c r="BW603" s="1729"/>
      <c r="BX603" s="1727">
        <f t="shared" si="2"/>
        <v>3</v>
      </c>
      <c r="BY603" s="1728"/>
      <c r="BZ603" s="1728"/>
      <c r="CA603" s="1728"/>
      <c r="CB603" s="1729"/>
      <c r="CC603" s="1727">
        <f t="shared" si="3"/>
        <v>0</v>
      </c>
      <c r="CD603" s="1728"/>
      <c r="CE603" s="1728"/>
      <c r="CF603" s="1728"/>
      <c r="CG603" s="1729"/>
      <c r="CH603" s="1727">
        <f t="shared" si="4"/>
        <v>0</v>
      </c>
      <c r="CI603" s="1728"/>
      <c r="CJ603" s="1728"/>
      <c r="CK603" s="1728"/>
      <c r="CL603" s="1729"/>
      <c r="CM603" s="1727">
        <f t="shared" si="5"/>
        <v>0</v>
      </c>
      <c r="CN603" s="1728"/>
      <c r="CO603" s="1728"/>
      <c r="CP603" s="1728"/>
      <c r="CQ603" s="1729"/>
      <c r="CS603" s="1739">
        <f t="shared" si="10"/>
        <v>0</v>
      </c>
      <c r="CT603" s="1740"/>
      <c r="CU603" s="1740"/>
      <c r="CV603" s="1740"/>
      <c r="CW603" s="1741"/>
      <c r="CX603" s="1739">
        <f t="shared" si="11"/>
        <v>0</v>
      </c>
      <c r="CY603" s="1740"/>
      <c r="CZ603" s="1740"/>
      <c r="DA603" s="1740"/>
      <c r="DB603" s="1741"/>
      <c r="DC603" s="1739">
        <f t="shared" si="12"/>
        <v>0</v>
      </c>
      <c r="DD603" s="1740"/>
      <c r="DE603" s="1740"/>
      <c r="DF603" s="1740"/>
      <c r="DG603" s="1741"/>
      <c r="DH603" s="1739">
        <f t="shared" si="13"/>
        <v>0</v>
      </c>
      <c r="DI603" s="1740"/>
      <c r="DJ603" s="1740"/>
      <c r="DK603" s="1740"/>
      <c r="DL603" s="1741"/>
      <c r="DM603" s="1739">
        <f t="shared" si="14"/>
        <v>0</v>
      </c>
      <c r="DN603" s="1740"/>
      <c r="DO603" s="1740"/>
      <c r="DP603" s="1740"/>
      <c r="DQ603" s="1741"/>
      <c r="DR603" s="1739">
        <f t="shared" si="15"/>
        <v>0</v>
      </c>
      <c r="DS603" s="1740"/>
      <c r="DT603" s="1740"/>
      <c r="DU603" s="1740"/>
      <c r="DV603" s="1741"/>
    </row>
    <row r="604" spans="1:126" ht="13.2">
      <c r="A604" s="101" t="s">
        <v>606</v>
      </c>
      <c r="B604" s="16" t="s">
        <v>93</v>
      </c>
      <c r="G604" s="1700">
        <f>C566</f>
        <v>0</v>
      </c>
      <c r="H604" s="1700"/>
      <c r="I604" s="1700"/>
      <c r="J604" s="1700"/>
      <c r="K604" s="1700"/>
      <c r="L604" s="1700"/>
      <c r="M604" s="1700"/>
      <c r="N604" s="1700"/>
      <c r="O604" s="1700"/>
      <c r="P604" s="1700"/>
      <c r="Q604" s="1700"/>
      <c r="R604" s="1700"/>
      <c r="T604" s="101" t="s">
        <v>191</v>
      </c>
      <c r="U604" s="16" t="s">
        <v>93</v>
      </c>
      <c r="Z604" s="1700">
        <f>C567</f>
        <v>0</v>
      </c>
      <c r="AA604" s="1700"/>
      <c r="AB604" s="1700"/>
      <c r="AC604" s="1700"/>
      <c r="AD604" s="1700"/>
      <c r="AE604" s="1700"/>
      <c r="AF604" s="1700"/>
      <c r="AG604" s="1700"/>
      <c r="AH604" s="1700"/>
      <c r="AI604" s="1700"/>
      <c r="AJ604" s="1700"/>
      <c r="AK604" s="1700"/>
      <c r="AZ604" s="8" t="s">
        <v>855</v>
      </c>
      <c r="BA604" s="72"/>
      <c r="BB604" s="72"/>
      <c r="BC604" s="72"/>
      <c r="BD604" s="72"/>
      <c r="BE604" s="1733">
        <f t="shared" si="8"/>
        <v>0</v>
      </c>
      <c r="BF604" s="1735"/>
      <c r="BG604" s="1727">
        <f t="shared" si="6"/>
        <v>0</v>
      </c>
      <c r="BH604" s="1729"/>
      <c r="BI604" s="1733">
        <f t="shared" si="9"/>
        <v>1</v>
      </c>
      <c r="BJ604" s="1735"/>
      <c r="BK604" s="1727">
        <f t="shared" si="7"/>
        <v>3</v>
      </c>
      <c r="BL604" s="1729"/>
      <c r="BN604" s="1727">
        <f t="shared" si="0"/>
        <v>0</v>
      </c>
      <c r="BO604" s="1728"/>
      <c r="BP604" s="1728"/>
      <c r="BQ604" s="1728"/>
      <c r="BR604" s="1736"/>
      <c r="BS604" s="1727">
        <f t="shared" si="1"/>
        <v>0</v>
      </c>
      <c r="BT604" s="1728"/>
      <c r="BU604" s="1728"/>
      <c r="BV604" s="1728"/>
      <c r="BW604" s="1729"/>
      <c r="BX604" s="1727">
        <f t="shared" si="2"/>
        <v>13</v>
      </c>
      <c r="BY604" s="1728"/>
      <c r="BZ604" s="1728"/>
      <c r="CA604" s="1728"/>
      <c r="CB604" s="1729"/>
      <c r="CC604" s="1727">
        <f t="shared" si="3"/>
        <v>0</v>
      </c>
      <c r="CD604" s="1728"/>
      <c r="CE604" s="1728"/>
      <c r="CF604" s="1728"/>
      <c r="CG604" s="1729"/>
      <c r="CH604" s="1727">
        <f t="shared" si="4"/>
        <v>0</v>
      </c>
      <c r="CI604" s="1728"/>
      <c r="CJ604" s="1728"/>
      <c r="CK604" s="1728"/>
      <c r="CL604" s="1729"/>
      <c r="CM604" s="1727">
        <f t="shared" si="5"/>
        <v>0</v>
      </c>
      <c r="CN604" s="1728"/>
      <c r="CO604" s="1728"/>
      <c r="CP604" s="1728"/>
      <c r="CQ604" s="1729"/>
      <c r="CS604" s="1739">
        <f t="shared" si="10"/>
        <v>0</v>
      </c>
      <c r="CT604" s="1740"/>
      <c r="CU604" s="1740"/>
      <c r="CV604" s="1740"/>
      <c r="CW604" s="1741"/>
      <c r="CX604" s="1739">
        <f t="shared" si="11"/>
        <v>0</v>
      </c>
      <c r="CY604" s="1740"/>
      <c r="CZ604" s="1740"/>
      <c r="DA604" s="1740"/>
      <c r="DB604" s="1741"/>
      <c r="DC604" s="1739">
        <f t="shared" si="12"/>
        <v>3</v>
      </c>
      <c r="DD604" s="1740"/>
      <c r="DE604" s="1740"/>
      <c r="DF604" s="1740"/>
      <c r="DG604" s="1741"/>
      <c r="DH604" s="1739">
        <f t="shared" si="13"/>
        <v>0</v>
      </c>
      <c r="DI604" s="1740"/>
      <c r="DJ604" s="1740"/>
      <c r="DK604" s="1740"/>
      <c r="DL604" s="1741"/>
      <c r="DM604" s="1739">
        <f t="shared" si="14"/>
        <v>0</v>
      </c>
      <c r="DN604" s="1740"/>
      <c r="DO604" s="1740"/>
      <c r="DP604" s="1740"/>
      <c r="DQ604" s="1741"/>
      <c r="DR604" s="1739">
        <f t="shared" si="15"/>
        <v>0</v>
      </c>
      <c r="DS604" s="1740"/>
      <c r="DT604" s="1740"/>
      <c r="DU604" s="1740"/>
      <c r="DV604" s="1741"/>
    </row>
    <row r="605" spans="1:126" ht="13.2">
      <c r="A605" s="46"/>
      <c r="B605" s="16" t="s">
        <v>416</v>
      </c>
      <c r="G605" s="1697"/>
      <c r="H605" s="1697"/>
      <c r="I605" s="1697"/>
      <c r="J605" s="1697"/>
      <c r="K605" s="1697"/>
      <c r="L605" s="1697"/>
      <c r="M605" s="1697"/>
      <c r="N605" s="1697"/>
      <c r="O605" s="1697"/>
      <c r="P605" s="1697"/>
      <c r="Q605" s="1697"/>
      <c r="R605" s="1697"/>
      <c r="T605" s="46"/>
      <c r="U605" s="16" t="s">
        <v>416</v>
      </c>
      <c r="Z605" s="1697"/>
      <c r="AA605" s="1697"/>
      <c r="AB605" s="1697"/>
      <c r="AC605" s="1697"/>
      <c r="AD605" s="1697"/>
      <c r="AE605" s="1697"/>
      <c r="AF605" s="1697"/>
      <c r="AG605" s="1697"/>
      <c r="AH605" s="1697"/>
      <c r="AI605" s="1697"/>
      <c r="AJ605" s="1697"/>
      <c r="AK605" s="1697"/>
      <c r="AZ605" s="8" t="s">
        <v>383</v>
      </c>
      <c r="BA605" s="72"/>
      <c r="BB605" s="72"/>
      <c r="BC605" s="72"/>
      <c r="BD605" s="72"/>
      <c r="BE605" s="1733">
        <f t="shared" si="8"/>
        <v>0</v>
      </c>
      <c r="BF605" s="1735"/>
      <c r="BG605" s="1727">
        <f t="shared" si="6"/>
        <v>0</v>
      </c>
      <c r="BH605" s="1729"/>
      <c r="BI605" s="1733">
        <f t="shared" si="9"/>
        <v>0</v>
      </c>
      <c r="BJ605" s="1735"/>
      <c r="BK605" s="1727">
        <f t="shared" si="7"/>
        <v>0</v>
      </c>
      <c r="BL605" s="1729"/>
      <c r="BN605" s="1727">
        <f t="shared" si="0"/>
        <v>0</v>
      </c>
      <c r="BO605" s="1728"/>
      <c r="BP605" s="1728"/>
      <c r="BQ605" s="1728"/>
      <c r="BR605" s="1736"/>
      <c r="BS605" s="1727">
        <f t="shared" si="1"/>
        <v>0</v>
      </c>
      <c r="BT605" s="1728"/>
      <c r="BU605" s="1728"/>
      <c r="BV605" s="1728"/>
      <c r="BW605" s="1729"/>
      <c r="BX605" s="1727">
        <f t="shared" si="2"/>
        <v>0</v>
      </c>
      <c r="BY605" s="1728"/>
      <c r="BZ605" s="1728"/>
      <c r="CA605" s="1728"/>
      <c r="CB605" s="1729"/>
      <c r="CC605" s="1727">
        <f t="shared" si="3"/>
        <v>3</v>
      </c>
      <c r="CD605" s="1728"/>
      <c r="CE605" s="1728"/>
      <c r="CF605" s="1728"/>
      <c r="CG605" s="1729"/>
      <c r="CH605" s="1727">
        <f t="shared" si="4"/>
        <v>0</v>
      </c>
      <c r="CI605" s="1728"/>
      <c r="CJ605" s="1728"/>
      <c r="CK605" s="1728"/>
      <c r="CL605" s="1729"/>
      <c r="CM605" s="1727">
        <f t="shared" si="5"/>
        <v>0</v>
      </c>
      <c r="CN605" s="1728"/>
      <c r="CO605" s="1728"/>
      <c r="CP605" s="1728"/>
      <c r="CQ605" s="1729"/>
      <c r="CS605" s="1739">
        <f t="shared" si="10"/>
        <v>0</v>
      </c>
      <c r="CT605" s="1740"/>
      <c r="CU605" s="1740"/>
      <c r="CV605" s="1740"/>
      <c r="CW605" s="1741"/>
      <c r="CX605" s="1739">
        <f t="shared" si="11"/>
        <v>0</v>
      </c>
      <c r="CY605" s="1740"/>
      <c r="CZ605" s="1740"/>
      <c r="DA605" s="1740"/>
      <c r="DB605" s="1741"/>
      <c r="DC605" s="1739">
        <f t="shared" si="12"/>
        <v>0</v>
      </c>
      <c r="DD605" s="1740"/>
      <c r="DE605" s="1740"/>
      <c r="DF605" s="1740"/>
      <c r="DG605" s="1741"/>
      <c r="DH605" s="1739">
        <f t="shared" si="13"/>
        <v>0</v>
      </c>
      <c r="DI605" s="1740"/>
      <c r="DJ605" s="1740"/>
      <c r="DK605" s="1740"/>
      <c r="DL605" s="1741"/>
      <c r="DM605" s="1739">
        <f t="shared" si="14"/>
        <v>0</v>
      </c>
      <c r="DN605" s="1740"/>
      <c r="DO605" s="1740"/>
      <c r="DP605" s="1740"/>
      <c r="DQ605" s="1741"/>
      <c r="DR605" s="1739">
        <f t="shared" si="15"/>
        <v>0</v>
      </c>
      <c r="DS605" s="1740"/>
      <c r="DT605" s="1740"/>
      <c r="DU605" s="1740"/>
      <c r="DV605" s="1741"/>
    </row>
    <row r="606" spans="1:126" ht="13.2">
      <c r="A606" s="46"/>
      <c r="B606" s="16" t="s">
        <v>479</v>
      </c>
      <c r="G606" s="1697"/>
      <c r="H606" s="1697"/>
      <c r="I606" s="1697"/>
      <c r="J606" s="1697"/>
      <c r="K606" s="1697"/>
      <c r="L606" s="1697"/>
      <c r="M606" s="1697"/>
      <c r="N606" s="1697"/>
      <c r="O606" s="1697"/>
      <c r="P606" s="1697"/>
      <c r="Q606" s="1697"/>
      <c r="R606" s="1697"/>
      <c r="T606" s="46"/>
      <c r="U606" s="16" t="s">
        <v>479</v>
      </c>
      <c r="Z606" s="1705"/>
      <c r="AA606" s="1705"/>
      <c r="AB606" s="1705"/>
      <c r="AC606" s="1705"/>
      <c r="AD606" s="1705"/>
      <c r="AE606" s="1705"/>
      <c r="AF606" s="1705"/>
      <c r="AG606" s="1705"/>
      <c r="AH606" s="1705"/>
      <c r="AI606" s="1705"/>
      <c r="AJ606" s="1705"/>
      <c r="AK606" s="1705"/>
      <c r="AZ606" s="72"/>
      <c r="BA606" s="72"/>
      <c r="BB606" s="72"/>
      <c r="BC606" s="72"/>
      <c r="BD606" s="72"/>
      <c r="BE606" s="1733">
        <f t="shared" si="8"/>
        <v>0</v>
      </c>
      <c r="BF606" s="1735"/>
      <c r="BG606" s="1727">
        <f t="shared" si="6"/>
        <v>0</v>
      </c>
      <c r="BH606" s="1729"/>
      <c r="BI606" s="1733">
        <f t="shared" si="9"/>
        <v>1</v>
      </c>
      <c r="BJ606" s="1735"/>
      <c r="BK606" s="1727">
        <f t="shared" si="7"/>
        <v>3</v>
      </c>
      <c r="BL606" s="1729"/>
      <c r="BN606" s="1727">
        <f t="shared" si="0"/>
        <v>0</v>
      </c>
      <c r="BO606" s="1728"/>
      <c r="BP606" s="1728"/>
      <c r="BQ606" s="1728"/>
      <c r="BR606" s="1736"/>
      <c r="BS606" s="1727">
        <f t="shared" si="1"/>
        <v>0</v>
      </c>
      <c r="BT606" s="1728"/>
      <c r="BU606" s="1728"/>
      <c r="BV606" s="1728"/>
      <c r="BW606" s="1729"/>
      <c r="BX606" s="1727">
        <f t="shared" si="2"/>
        <v>0</v>
      </c>
      <c r="BY606" s="1728"/>
      <c r="BZ606" s="1728"/>
      <c r="CA606" s="1728"/>
      <c r="CB606" s="1729"/>
      <c r="CC606" s="1727">
        <f t="shared" si="3"/>
        <v>16</v>
      </c>
      <c r="CD606" s="1728"/>
      <c r="CE606" s="1728"/>
      <c r="CF606" s="1728"/>
      <c r="CG606" s="1729"/>
      <c r="CH606" s="1727">
        <f t="shared" si="4"/>
        <v>0</v>
      </c>
      <c r="CI606" s="1728"/>
      <c r="CJ606" s="1728"/>
      <c r="CK606" s="1728"/>
      <c r="CL606" s="1729"/>
      <c r="CM606" s="1727">
        <f t="shared" si="5"/>
        <v>0</v>
      </c>
      <c r="CN606" s="1728"/>
      <c r="CO606" s="1728"/>
      <c r="CP606" s="1728"/>
      <c r="CQ606" s="1729"/>
      <c r="CS606" s="1739">
        <f t="shared" si="10"/>
        <v>0</v>
      </c>
      <c r="CT606" s="1740"/>
      <c r="CU606" s="1740"/>
      <c r="CV606" s="1740"/>
      <c r="CW606" s="1741"/>
      <c r="CX606" s="1739">
        <f t="shared" si="11"/>
        <v>0</v>
      </c>
      <c r="CY606" s="1740"/>
      <c r="CZ606" s="1740"/>
      <c r="DA606" s="1740"/>
      <c r="DB606" s="1741"/>
      <c r="DC606" s="1739">
        <f t="shared" si="12"/>
        <v>0</v>
      </c>
      <c r="DD606" s="1740"/>
      <c r="DE606" s="1740"/>
      <c r="DF606" s="1740"/>
      <c r="DG606" s="1741"/>
      <c r="DH606" s="1739">
        <f t="shared" si="13"/>
        <v>3</v>
      </c>
      <c r="DI606" s="1740"/>
      <c r="DJ606" s="1740"/>
      <c r="DK606" s="1740"/>
      <c r="DL606" s="1741"/>
      <c r="DM606" s="1739">
        <f t="shared" si="14"/>
        <v>0</v>
      </c>
      <c r="DN606" s="1740"/>
      <c r="DO606" s="1740"/>
      <c r="DP606" s="1740"/>
      <c r="DQ606" s="1741"/>
      <c r="DR606" s="1739">
        <f t="shared" si="15"/>
        <v>0</v>
      </c>
      <c r="DS606" s="1740"/>
      <c r="DT606" s="1740"/>
      <c r="DU606" s="1740"/>
      <c r="DV606" s="1741"/>
    </row>
    <row r="607" spans="1:126" ht="13.2">
      <c r="A607" s="46"/>
      <c r="B607" s="16" t="s">
        <v>915</v>
      </c>
      <c r="G607" s="1697"/>
      <c r="H607" s="1697"/>
      <c r="I607" s="1697"/>
      <c r="J607" s="1697"/>
      <c r="K607" s="1697"/>
      <c r="L607" s="1697"/>
      <c r="M607" s="1697"/>
      <c r="N607" s="1697"/>
      <c r="O607" s="1697"/>
      <c r="P607" s="1697"/>
      <c r="Q607" s="1697"/>
      <c r="R607" s="1697"/>
      <c r="T607" s="46"/>
      <c r="U607" s="16" t="s">
        <v>915</v>
      </c>
      <c r="Z607" s="1705"/>
      <c r="AA607" s="1705"/>
      <c r="AB607" s="1705"/>
      <c r="AC607" s="1705"/>
      <c r="AD607" s="1705"/>
      <c r="AE607" s="1705"/>
      <c r="AF607" s="1705"/>
      <c r="AG607" s="1705"/>
      <c r="AH607" s="1705"/>
      <c r="AI607" s="1705"/>
      <c r="AJ607" s="1705"/>
      <c r="AK607" s="1705"/>
      <c r="AZ607" s="72"/>
      <c r="BA607" s="72"/>
      <c r="BB607" s="72"/>
      <c r="BC607" s="72"/>
      <c r="BD607" s="72"/>
      <c r="BE607" s="1733">
        <f t="shared" si="8"/>
        <v>0</v>
      </c>
      <c r="BF607" s="1735"/>
      <c r="BG607" s="1727">
        <f t="shared" si="6"/>
        <v>0</v>
      </c>
      <c r="BH607" s="1729"/>
      <c r="BI607" s="1733">
        <f t="shared" si="9"/>
        <v>0</v>
      </c>
      <c r="BJ607" s="1735"/>
      <c r="BK607" s="1727">
        <f t="shared" si="7"/>
        <v>0</v>
      </c>
      <c r="BL607" s="1729"/>
      <c r="BN607" s="1727">
        <f t="shared" si="0"/>
        <v>0</v>
      </c>
      <c r="BO607" s="1728"/>
      <c r="BP607" s="1728"/>
      <c r="BQ607" s="1728"/>
      <c r="BR607" s="1736"/>
      <c r="BS607" s="1727">
        <f t="shared" si="1"/>
        <v>0</v>
      </c>
      <c r="BT607" s="1728"/>
      <c r="BU607" s="1728"/>
      <c r="BV607" s="1728"/>
      <c r="BW607" s="1729"/>
      <c r="BX607" s="1727">
        <f t="shared" si="2"/>
        <v>0</v>
      </c>
      <c r="BY607" s="1728"/>
      <c r="BZ607" s="1728"/>
      <c r="CA607" s="1728"/>
      <c r="CB607" s="1729"/>
      <c r="CC607" s="1727">
        <f t="shared" si="3"/>
        <v>0</v>
      </c>
      <c r="CD607" s="1728"/>
      <c r="CE607" s="1728"/>
      <c r="CF607" s="1728"/>
      <c r="CG607" s="1729"/>
      <c r="CH607" s="1727">
        <f t="shared" si="4"/>
        <v>0</v>
      </c>
      <c r="CI607" s="1728"/>
      <c r="CJ607" s="1728"/>
      <c r="CK607" s="1728"/>
      <c r="CL607" s="1729"/>
      <c r="CM607" s="1727">
        <f t="shared" si="5"/>
        <v>0</v>
      </c>
      <c r="CN607" s="1728"/>
      <c r="CO607" s="1728"/>
      <c r="CP607" s="1728"/>
      <c r="CQ607" s="1729"/>
      <c r="CS607" s="1739">
        <f t="shared" si="10"/>
        <v>0</v>
      </c>
      <c r="CT607" s="1740"/>
      <c r="CU607" s="1740"/>
      <c r="CV607" s="1740"/>
      <c r="CW607" s="1741"/>
      <c r="CX607" s="1739">
        <f t="shared" si="11"/>
        <v>0</v>
      </c>
      <c r="CY607" s="1740"/>
      <c r="CZ607" s="1740"/>
      <c r="DA607" s="1740"/>
      <c r="DB607" s="1741"/>
      <c r="DC607" s="1739">
        <f t="shared" si="12"/>
        <v>0</v>
      </c>
      <c r="DD607" s="1740"/>
      <c r="DE607" s="1740"/>
      <c r="DF607" s="1740"/>
      <c r="DG607" s="1741"/>
      <c r="DH607" s="1739">
        <f t="shared" si="13"/>
        <v>0</v>
      </c>
      <c r="DI607" s="1740"/>
      <c r="DJ607" s="1740"/>
      <c r="DK607" s="1740"/>
      <c r="DL607" s="1741"/>
      <c r="DM607" s="1739">
        <f t="shared" si="14"/>
        <v>0</v>
      </c>
      <c r="DN607" s="1740"/>
      <c r="DO607" s="1740"/>
      <c r="DP607" s="1740"/>
      <c r="DQ607" s="1741"/>
      <c r="DR607" s="1739">
        <f t="shared" si="15"/>
        <v>0</v>
      </c>
      <c r="DS607" s="1740"/>
      <c r="DT607" s="1740"/>
      <c r="DU607" s="1740"/>
      <c r="DV607" s="1741"/>
    </row>
    <row r="608" spans="1:126" ht="13.2">
      <c r="A608" s="46"/>
      <c r="B608" s="16" t="s">
        <v>716</v>
      </c>
      <c r="G608" s="1699"/>
      <c r="H608" s="1699"/>
      <c r="I608" s="1699"/>
      <c r="J608" s="1699"/>
      <c r="K608" s="1699"/>
      <c r="L608" s="1699"/>
      <c r="O608" s="149" t="s">
        <v>900</v>
      </c>
      <c r="P608" s="1695"/>
      <c r="Q608" s="1695"/>
      <c r="R608" s="1695"/>
      <c r="T608" s="46"/>
      <c r="U608" s="16" t="s">
        <v>716</v>
      </c>
      <c r="Z608" s="1699"/>
      <c r="AA608" s="1699"/>
      <c r="AB608" s="1699"/>
      <c r="AC608" s="1699"/>
      <c r="AD608" s="1699"/>
      <c r="AE608" s="1699"/>
      <c r="AH608" s="149" t="s">
        <v>900</v>
      </c>
      <c r="AI608" s="1695"/>
      <c r="AJ608" s="1695"/>
      <c r="AK608" s="1695"/>
      <c r="AZ608" s="72"/>
      <c r="BA608" s="72"/>
      <c r="BB608" s="72"/>
      <c r="BC608" s="72"/>
      <c r="BD608" s="72"/>
      <c r="BE608" s="1733">
        <f t="shared" si="8"/>
        <v>0</v>
      </c>
      <c r="BF608" s="1735"/>
      <c r="BG608" s="1727">
        <f t="shared" si="6"/>
        <v>0</v>
      </c>
      <c r="BH608" s="1729"/>
      <c r="BI608" s="1733">
        <f t="shared" si="9"/>
        <v>0</v>
      </c>
      <c r="BJ608" s="1735"/>
      <c r="BK608" s="1727">
        <f t="shared" si="7"/>
        <v>0</v>
      </c>
      <c r="BL608" s="1729"/>
      <c r="BN608" s="1727">
        <f t="shared" si="0"/>
        <v>0</v>
      </c>
      <c r="BO608" s="1728"/>
      <c r="BP608" s="1728"/>
      <c r="BQ608" s="1728"/>
      <c r="BR608" s="1736"/>
      <c r="BS608" s="1727">
        <f t="shared" si="1"/>
        <v>0</v>
      </c>
      <c r="BT608" s="1728"/>
      <c r="BU608" s="1728"/>
      <c r="BV608" s="1728"/>
      <c r="BW608" s="1729"/>
      <c r="BX608" s="1727">
        <f t="shared" si="2"/>
        <v>0</v>
      </c>
      <c r="BY608" s="1728"/>
      <c r="BZ608" s="1728"/>
      <c r="CA608" s="1728"/>
      <c r="CB608" s="1729"/>
      <c r="CC608" s="1727">
        <f t="shared" si="3"/>
        <v>0</v>
      </c>
      <c r="CD608" s="1728"/>
      <c r="CE608" s="1728"/>
      <c r="CF608" s="1728"/>
      <c r="CG608" s="1729"/>
      <c r="CH608" s="1727">
        <f t="shared" si="4"/>
        <v>0</v>
      </c>
      <c r="CI608" s="1728"/>
      <c r="CJ608" s="1728"/>
      <c r="CK608" s="1728"/>
      <c r="CL608" s="1729"/>
      <c r="CM608" s="1727">
        <f t="shared" si="5"/>
        <v>0</v>
      </c>
      <c r="CN608" s="1728"/>
      <c r="CO608" s="1728"/>
      <c r="CP608" s="1728"/>
      <c r="CQ608" s="1729"/>
      <c r="CS608" s="1739">
        <f t="shared" si="10"/>
        <v>0</v>
      </c>
      <c r="CT608" s="1740"/>
      <c r="CU608" s="1740"/>
      <c r="CV608" s="1740"/>
      <c r="CW608" s="1741"/>
      <c r="CX608" s="1739">
        <f t="shared" si="11"/>
        <v>0</v>
      </c>
      <c r="CY608" s="1740"/>
      <c r="CZ608" s="1740"/>
      <c r="DA608" s="1740"/>
      <c r="DB608" s="1741"/>
      <c r="DC608" s="1739">
        <f t="shared" si="12"/>
        <v>0</v>
      </c>
      <c r="DD608" s="1740"/>
      <c r="DE608" s="1740"/>
      <c r="DF608" s="1740"/>
      <c r="DG608" s="1741"/>
      <c r="DH608" s="1739">
        <f t="shared" si="13"/>
        <v>0</v>
      </c>
      <c r="DI608" s="1740"/>
      <c r="DJ608" s="1740"/>
      <c r="DK608" s="1740"/>
      <c r="DL608" s="1741"/>
      <c r="DM608" s="1739">
        <f t="shared" si="14"/>
        <v>0</v>
      </c>
      <c r="DN608" s="1740"/>
      <c r="DO608" s="1740"/>
      <c r="DP608" s="1740"/>
      <c r="DQ608" s="1741"/>
      <c r="DR608" s="1739">
        <f t="shared" si="15"/>
        <v>0</v>
      </c>
      <c r="DS608" s="1740"/>
      <c r="DT608" s="1740"/>
      <c r="DU608" s="1740"/>
      <c r="DV608" s="1741"/>
    </row>
    <row r="609" spans="1:126" s="8" customFormat="1" ht="13.2">
      <c r="A609" s="46"/>
      <c r="B609" s="16" t="s">
        <v>916</v>
      </c>
      <c r="C609" s="16"/>
      <c r="D609" s="16"/>
      <c r="E609" s="16"/>
      <c r="F609" s="16"/>
      <c r="G609" s="16"/>
      <c r="H609" s="1697"/>
      <c r="I609" s="1697"/>
      <c r="J609" s="1697"/>
      <c r="K609" s="1697"/>
      <c r="L609" s="1697"/>
      <c r="M609" s="1697"/>
      <c r="N609" s="1697"/>
      <c r="O609" s="1697"/>
      <c r="P609" s="1697"/>
      <c r="Q609" s="1697"/>
      <c r="R609" s="1697"/>
      <c r="S609" s="16"/>
      <c r="T609" s="46"/>
      <c r="U609" s="16" t="s">
        <v>916</v>
      </c>
      <c r="V609" s="16"/>
      <c r="W609" s="16"/>
      <c r="X609" s="16"/>
      <c r="Y609" s="16"/>
      <c r="Z609" s="16"/>
      <c r="AA609" s="1697"/>
      <c r="AB609" s="1697"/>
      <c r="AC609" s="1697"/>
      <c r="AD609" s="1697"/>
      <c r="AE609" s="1697"/>
      <c r="AF609" s="1697"/>
      <c r="AG609" s="1697"/>
      <c r="AH609" s="1697"/>
      <c r="AI609" s="1697"/>
      <c r="AJ609" s="1697"/>
      <c r="AK609" s="1697"/>
      <c r="AL609" s="16"/>
      <c r="AZ609" s="72"/>
      <c r="BA609" s="72"/>
      <c r="BB609" s="72"/>
      <c r="BC609" s="72"/>
      <c r="BD609" s="72"/>
      <c r="BE609" s="1733">
        <f t="shared" si="8"/>
        <v>0</v>
      </c>
      <c r="BF609" s="1735"/>
      <c r="BG609" s="1727">
        <f t="shared" si="6"/>
        <v>0</v>
      </c>
      <c r="BH609" s="1729"/>
      <c r="BI609" s="1733">
        <f t="shared" si="9"/>
        <v>0</v>
      </c>
      <c r="BJ609" s="1735"/>
      <c r="BK609" s="1727">
        <f t="shared" si="7"/>
        <v>0</v>
      </c>
      <c r="BL609" s="1729"/>
      <c r="BN609" s="1727">
        <f t="shared" si="0"/>
        <v>0</v>
      </c>
      <c r="BO609" s="1728"/>
      <c r="BP609" s="1728"/>
      <c r="BQ609" s="1728"/>
      <c r="BR609" s="1736"/>
      <c r="BS609" s="1727">
        <f t="shared" si="1"/>
        <v>0</v>
      </c>
      <c r="BT609" s="1728"/>
      <c r="BU609" s="1728"/>
      <c r="BV609" s="1728"/>
      <c r="BW609" s="1729"/>
      <c r="BX609" s="1727">
        <f t="shared" si="2"/>
        <v>0</v>
      </c>
      <c r="BY609" s="1728"/>
      <c r="BZ609" s="1728"/>
      <c r="CA609" s="1728"/>
      <c r="CB609" s="1729"/>
      <c r="CC609" s="1727">
        <f t="shared" si="3"/>
        <v>0</v>
      </c>
      <c r="CD609" s="1728"/>
      <c r="CE609" s="1728"/>
      <c r="CF609" s="1728"/>
      <c r="CG609" s="1729"/>
      <c r="CH609" s="1727">
        <f t="shared" si="4"/>
        <v>0</v>
      </c>
      <c r="CI609" s="1728"/>
      <c r="CJ609" s="1728"/>
      <c r="CK609" s="1728"/>
      <c r="CL609" s="1729"/>
      <c r="CM609" s="1727">
        <f t="shared" si="5"/>
        <v>0</v>
      </c>
      <c r="CN609" s="1728"/>
      <c r="CO609" s="1728"/>
      <c r="CP609" s="1728"/>
      <c r="CQ609" s="1729"/>
      <c r="CS609" s="1739">
        <f t="shared" si="10"/>
        <v>0</v>
      </c>
      <c r="CT609" s="1740"/>
      <c r="CU609" s="1740"/>
      <c r="CV609" s="1740"/>
      <c r="CW609" s="1741"/>
      <c r="CX609" s="1739">
        <f t="shared" si="11"/>
        <v>0</v>
      </c>
      <c r="CY609" s="1740"/>
      <c r="CZ609" s="1740"/>
      <c r="DA609" s="1740"/>
      <c r="DB609" s="1741"/>
      <c r="DC609" s="1739">
        <f t="shared" si="12"/>
        <v>0</v>
      </c>
      <c r="DD609" s="1740"/>
      <c r="DE609" s="1740"/>
      <c r="DF609" s="1740"/>
      <c r="DG609" s="1741"/>
      <c r="DH609" s="1739">
        <f t="shared" si="13"/>
        <v>0</v>
      </c>
      <c r="DI609" s="1740"/>
      <c r="DJ609" s="1740"/>
      <c r="DK609" s="1740"/>
      <c r="DL609" s="1741"/>
      <c r="DM609" s="1739">
        <f t="shared" si="14"/>
        <v>0</v>
      </c>
      <c r="DN609" s="1740"/>
      <c r="DO609" s="1740"/>
      <c r="DP609" s="1740"/>
      <c r="DQ609" s="1741"/>
      <c r="DR609" s="1739">
        <f t="shared" si="15"/>
        <v>0</v>
      </c>
      <c r="DS609" s="1740"/>
      <c r="DT609" s="1740"/>
      <c r="DU609" s="1740"/>
      <c r="DV609" s="1741"/>
    </row>
    <row r="610" spans="1:126" s="8" customFormat="1" ht="13.2">
      <c r="A610" s="46"/>
      <c r="B610" s="16" t="s">
        <v>918</v>
      </c>
      <c r="C610" s="16"/>
      <c r="D610" s="16"/>
      <c r="E610" s="16"/>
      <c r="F610" s="16"/>
      <c r="G610" s="16"/>
      <c r="H610" s="16"/>
      <c r="I610" s="16"/>
      <c r="J610" s="16"/>
      <c r="K610" s="16"/>
      <c r="L610" s="16"/>
      <c r="M610" s="16"/>
      <c r="N610" s="1664" t="s">
        <v>531</v>
      </c>
      <c r="O610" s="1664"/>
      <c r="P610" s="16"/>
      <c r="Q610" s="16"/>
      <c r="R610" s="16"/>
      <c r="S610" s="16"/>
      <c r="T610" s="46"/>
      <c r="U610" s="16" t="s">
        <v>918</v>
      </c>
      <c r="V610" s="16"/>
      <c r="W610" s="16"/>
      <c r="X610" s="16"/>
      <c r="Y610" s="16"/>
      <c r="Z610" s="16"/>
      <c r="AA610" s="16"/>
      <c r="AB610" s="16"/>
      <c r="AC610" s="16"/>
      <c r="AD610" s="16"/>
      <c r="AE610" s="16"/>
      <c r="AF610" s="16"/>
      <c r="AG610" s="1664" t="s">
        <v>531</v>
      </c>
      <c r="AH610" s="1664"/>
      <c r="AI610" s="16"/>
      <c r="AJ610" s="16"/>
      <c r="AK610" s="16"/>
      <c r="AL610" s="16"/>
      <c r="AZ610" s="72"/>
      <c r="BA610" s="72"/>
      <c r="BB610" s="72"/>
      <c r="BC610" s="72"/>
      <c r="BD610" s="72"/>
      <c r="BE610" s="1733">
        <f t="shared" si="8"/>
        <v>0</v>
      </c>
      <c r="BF610" s="1735"/>
      <c r="BG610" s="1727">
        <f t="shared" si="6"/>
        <v>0</v>
      </c>
      <c r="BH610" s="1729"/>
      <c r="BI610" s="1733">
        <f t="shared" si="9"/>
        <v>0</v>
      </c>
      <c r="BJ610" s="1735"/>
      <c r="BK610" s="1727">
        <f t="shared" si="7"/>
        <v>0</v>
      </c>
      <c r="BL610" s="1729"/>
      <c r="BN610" s="1727">
        <f t="shared" si="0"/>
        <v>0</v>
      </c>
      <c r="BO610" s="1728"/>
      <c r="BP610" s="1728"/>
      <c r="BQ610" s="1728"/>
      <c r="BR610" s="1736"/>
      <c r="BS610" s="1727">
        <f t="shared" si="1"/>
        <v>0</v>
      </c>
      <c r="BT610" s="1728"/>
      <c r="BU610" s="1728"/>
      <c r="BV610" s="1728"/>
      <c r="BW610" s="1729"/>
      <c r="BX610" s="1727">
        <f t="shared" si="2"/>
        <v>0</v>
      </c>
      <c r="BY610" s="1728"/>
      <c r="BZ610" s="1728"/>
      <c r="CA610" s="1728"/>
      <c r="CB610" s="1729"/>
      <c r="CC610" s="1727">
        <f t="shared" si="3"/>
        <v>0</v>
      </c>
      <c r="CD610" s="1728"/>
      <c r="CE610" s="1728"/>
      <c r="CF610" s="1728"/>
      <c r="CG610" s="1729"/>
      <c r="CH610" s="1727">
        <f t="shared" si="4"/>
        <v>0</v>
      </c>
      <c r="CI610" s="1728"/>
      <c r="CJ610" s="1728"/>
      <c r="CK610" s="1728"/>
      <c r="CL610" s="1729"/>
      <c r="CM610" s="1727">
        <f t="shared" si="5"/>
        <v>0</v>
      </c>
      <c r="CN610" s="1728"/>
      <c r="CO610" s="1728"/>
      <c r="CP610" s="1728"/>
      <c r="CQ610" s="1729"/>
      <c r="CS610" s="1739">
        <f t="shared" si="10"/>
        <v>0</v>
      </c>
      <c r="CT610" s="1740"/>
      <c r="CU610" s="1740"/>
      <c r="CV610" s="1740"/>
      <c r="CW610" s="1741"/>
      <c r="CX610" s="1739">
        <f t="shared" si="11"/>
        <v>0</v>
      </c>
      <c r="CY610" s="1740"/>
      <c r="CZ610" s="1740"/>
      <c r="DA610" s="1740"/>
      <c r="DB610" s="1741"/>
      <c r="DC610" s="1739">
        <f t="shared" si="12"/>
        <v>0</v>
      </c>
      <c r="DD610" s="1740"/>
      <c r="DE610" s="1740"/>
      <c r="DF610" s="1740"/>
      <c r="DG610" s="1741"/>
      <c r="DH610" s="1739">
        <f t="shared" si="13"/>
        <v>0</v>
      </c>
      <c r="DI610" s="1740"/>
      <c r="DJ610" s="1740"/>
      <c r="DK610" s="1740"/>
      <c r="DL610" s="1741"/>
      <c r="DM610" s="1739">
        <f t="shared" si="14"/>
        <v>0</v>
      </c>
      <c r="DN610" s="1740"/>
      <c r="DO610" s="1740"/>
      <c r="DP610" s="1740"/>
      <c r="DQ610" s="1741"/>
      <c r="DR610" s="1739">
        <f t="shared" si="15"/>
        <v>0</v>
      </c>
      <c r="DS610" s="1740"/>
      <c r="DT610" s="1740"/>
      <c r="DU610" s="1740"/>
      <c r="DV610" s="1741"/>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33">
        <f t="shared" si="8"/>
        <v>0</v>
      </c>
      <c r="BF611" s="1735"/>
      <c r="BG611" s="1727">
        <f t="shared" si="6"/>
        <v>0</v>
      </c>
      <c r="BH611" s="1729"/>
      <c r="BI611" s="1733">
        <f t="shared" si="9"/>
        <v>0</v>
      </c>
      <c r="BJ611" s="1735"/>
      <c r="BK611" s="1727">
        <f t="shared" si="7"/>
        <v>0</v>
      </c>
      <c r="BL611" s="1729"/>
      <c r="BN611" s="1727">
        <f t="shared" si="0"/>
        <v>0</v>
      </c>
      <c r="BO611" s="1728"/>
      <c r="BP611" s="1728"/>
      <c r="BQ611" s="1728"/>
      <c r="BR611" s="1736"/>
      <c r="BS611" s="1727">
        <f t="shared" si="1"/>
        <v>0</v>
      </c>
      <c r="BT611" s="1728"/>
      <c r="BU611" s="1728"/>
      <c r="BV611" s="1728"/>
      <c r="BW611" s="1729"/>
      <c r="BX611" s="1727">
        <f t="shared" si="2"/>
        <v>0</v>
      </c>
      <c r="BY611" s="1728"/>
      <c r="BZ611" s="1728"/>
      <c r="CA611" s="1728"/>
      <c r="CB611" s="1729"/>
      <c r="CC611" s="1727">
        <f t="shared" si="3"/>
        <v>0</v>
      </c>
      <c r="CD611" s="1728"/>
      <c r="CE611" s="1728"/>
      <c r="CF611" s="1728"/>
      <c r="CG611" s="1729"/>
      <c r="CH611" s="1727">
        <f t="shared" si="4"/>
        <v>0</v>
      </c>
      <c r="CI611" s="1728"/>
      <c r="CJ611" s="1728"/>
      <c r="CK611" s="1728"/>
      <c r="CL611" s="1729"/>
      <c r="CM611" s="1727">
        <f t="shared" si="5"/>
        <v>0</v>
      </c>
      <c r="CN611" s="1728"/>
      <c r="CO611" s="1728"/>
      <c r="CP611" s="1728"/>
      <c r="CQ611" s="1729"/>
      <c r="CS611" s="1739">
        <f t="shared" si="10"/>
        <v>0</v>
      </c>
      <c r="CT611" s="1740"/>
      <c r="CU611" s="1740"/>
      <c r="CV611" s="1740"/>
      <c r="CW611" s="1741"/>
      <c r="CX611" s="1739">
        <f t="shared" si="11"/>
        <v>0</v>
      </c>
      <c r="CY611" s="1740"/>
      <c r="CZ611" s="1740"/>
      <c r="DA611" s="1740"/>
      <c r="DB611" s="1741"/>
      <c r="DC611" s="1739">
        <f t="shared" si="12"/>
        <v>0</v>
      </c>
      <c r="DD611" s="1740"/>
      <c r="DE611" s="1740"/>
      <c r="DF611" s="1740"/>
      <c r="DG611" s="1741"/>
      <c r="DH611" s="1739">
        <f t="shared" si="13"/>
        <v>0</v>
      </c>
      <c r="DI611" s="1740"/>
      <c r="DJ611" s="1740"/>
      <c r="DK611" s="1740"/>
      <c r="DL611" s="1741"/>
      <c r="DM611" s="1739">
        <f t="shared" si="14"/>
        <v>0</v>
      </c>
      <c r="DN611" s="1740"/>
      <c r="DO611" s="1740"/>
      <c r="DP611" s="1740"/>
      <c r="DQ611" s="1741"/>
      <c r="DR611" s="1739">
        <f t="shared" si="15"/>
        <v>0</v>
      </c>
      <c r="DS611" s="1740"/>
      <c r="DT611" s="1740"/>
      <c r="DU611" s="1740"/>
      <c r="DV611" s="1741"/>
    </row>
    <row r="612" spans="1:126" ht="13.2">
      <c r="A612" s="101" t="s">
        <v>37</v>
      </c>
      <c r="B612" s="16" t="s">
        <v>93</v>
      </c>
      <c r="G612" s="1700">
        <f>C568</f>
        <v>0</v>
      </c>
      <c r="H612" s="1700"/>
      <c r="I612" s="1700"/>
      <c r="J612" s="1700"/>
      <c r="K612" s="1700"/>
      <c r="L612" s="1700"/>
      <c r="M612" s="1700"/>
      <c r="N612" s="1700"/>
      <c r="O612" s="1700"/>
      <c r="P612" s="1700"/>
      <c r="Q612" s="1700"/>
      <c r="R612" s="1700"/>
      <c r="T612" s="101" t="s">
        <v>38</v>
      </c>
      <c r="U612" s="16" t="s">
        <v>93</v>
      </c>
      <c r="Z612" s="1700">
        <f>C569</f>
        <v>0</v>
      </c>
      <c r="AA612" s="1700"/>
      <c r="AB612" s="1700"/>
      <c r="AC612" s="1700"/>
      <c r="AD612" s="1700"/>
      <c r="AE612" s="1700"/>
      <c r="AF612" s="1700"/>
      <c r="AG612" s="1700"/>
      <c r="AH612" s="1700"/>
      <c r="AI612" s="1700"/>
      <c r="AJ612" s="1700"/>
      <c r="AK612" s="1700"/>
      <c r="AZ612" s="72"/>
      <c r="BA612" s="72"/>
      <c r="BB612" s="72"/>
      <c r="BC612" s="72"/>
      <c r="BD612" s="72"/>
      <c r="BE612" s="1733">
        <f t="shared" si="8"/>
        <v>0</v>
      </c>
      <c r="BF612" s="1735"/>
      <c r="BG612" s="1727">
        <f t="shared" si="6"/>
        <v>0</v>
      </c>
      <c r="BH612" s="1729"/>
      <c r="BI612" s="1733">
        <f t="shared" si="9"/>
        <v>0</v>
      </c>
      <c r="BJ612" s="1735"/>
      <c r="BK612" s="1727">
        <f t="shared" si="7"/>
        <v>0</v>
      </c>
      <c r="BL612" s="1729"/>
      <c r="BN612" s="1727">
        <f t="shared" si="0"/>
        <v>0</v>
      </c>
      <c r="BO612" s="1728"/>
      <c r="BP612" s="1728"/>
      <c r="BQ612" s="1728"/>
      <c r="BR612" s="1736"/>
      <c r="BS612" s="1727">
        <f t="shared" si="1"/>
        <v>0</v>
      </c>
      <c r="BT612" s="1728"/>
      <c r="BU612" s="1728"/>
      <c r="BV612" s="1728"/>
      <c r="BW612" s="1729"/>
      <c r="BX612" s="1727">
        <f t="shared" si="2"/>
        <v>0</v>
      </c>
      <c r="BY612" s="1728"/>
      <c r="BZ612" s="1728"/>
      <c r="CA612" s="1728"/>
      <c r="CB612" s="1729"/>
      <c r="CC612" s="1727">
        <f t="shared" si="3"/>
        <v>0</v>
      </c>
      <c r="CD612" s="1728"/>
      <c r="CE612" s="1728"/>
      <c r="CF612" s="1728"/>
      <c r="CG612" s="1729"/>
      <c r="CH612" s="1727">
        <f t="shared" si="4"/>
        <v>0</v>
      </c>
      <c r="CI612" s="1728"/>
      <c r="CJ612" s="1728"/>
      <c r="CK612" s="1728"/>
      <c r="CL612" s="1729"/>
      <c r="CM612" s="1727">
        <f t="shared" si="5"/>
        <v>0</v>
      </c>
      <c r="CN612" s="1728"/>
      <c r="CO612" s="1728"/>
      <c r="CP612" s="1728"/>
      <c r="CQ612" s="1729"/>
      <c r="CS612" s="1739">
        <f t="shared" si="10"/>
        <v>0</v>
      </c>
      <c r="CT612" s="1740"/>
      <c r="CU612" s="1740"/>
      <c r="CV612" s="1740"/>
      <c r="CW612" s="1741"/>
      <c r="CX612" s="1739">
        <f t="shared" si="11"/>
        <v>0</v>
      </c>
      <c r="CY612" s="1740"/>
      <c r="CZ612" s="1740"/>
      <c r="DA612" s="1740"/>
      <c r="DB612" s="1741"/>
      <c r="DC612" s="1739">
        <f t="shared" si="12"/>
        <v>0</v>
      </c>
      <c r="DD612" s="1740"/>
      <c r="DE612" s="1740"/>
      <c r="DF612" s="1740"/>
      <c r="DG612" s="1741"/>
      <c r="DH612" s="1739">
        <f t="shared" si="13"/>
        <v>0</v>
      </c>
      <c r="DI612" s="1740"/>
      <c r="DJ612" s="1740"/>
      <c r="DK612" s="1740"/>
      <c r="DL612" s="1741"/>
      <c r="DM612" s="1739">
        <f t="shared" si="14"/>
        <v>0</v>
      </c>
      <c r="DN612" s="1740"/>
      <c r="DO612" s="1740"/>
      <c r="DP612" s="1740"/>
      <c r="DQ612" s="1741"/>
      <c r="DR612" s="1739">
        <f t="shared" si="15"/>
        <v>0</v>
      </c>
      <c r="DS612" s="1740"/>
      <c r="DT612" s="1740"/>
      <c r="DU612" s="1740"/>
      <c r="DV612" s="1741"/>
    </row>
    <row r="613" spans="1:126" ht="13.2">
      <c r="B613" s="16" t="s">
        <v>416</v>
      </c>
      <c r="G613" s="1697"/>
      <c r="H613" s="1697"/>
      <c r="I613" s="1697"/>
      <c r="J613" s="1697"/>
      <c r="K613" s="1697"/>
      <c r="L613" s="1697"/>
      <c r="M613" s="1697"/>
      <c r="N613" s="1697"/>
      <c r="O613" s="1697"/>
      <c r="P613" s="1697"/>
      <c r="Q613" s="1697"/>
      <c r="R613" s="1697"/>
      <c r="U613" s="16" t="s">
        <v>416</v>
      </c>
      <c r="Z613" s="1697"/>
      <c r="AA613" s="1697"/>
      <c r="AB613" s="1697"/>
      <c r="AC613" s="1697"/>
      <c r="AD613" s="1697"/>
      <c r="AE613" s="1697"/>
      <c r="AF613" s="1697"/>
      <c r="AG613" s="1697"/>
      <c r="AH613" s="1697"/>
      <c r="AI613" s="1697"/>
      <c r="AJ613" s="1697"/>
      <c r="AK613" s="1697"/>
      <c r="AL613" s="35"/>
      <c r="AZ613" s="72"/>
      <c r="BA613" s="72"/>
      <c r="BB613" s="72"/>
      <c r="BC613" s="72"/>
      <c r="BD613" s="72"/>
      <c r="BE613" s="1733">
        <f t="shared" si="8"/>
        <v>0</v>
      </c>
      <c r="BF613" s="1735"/>
      <c r="BG613" s="1727">
        <f t="shared" si="6"/>
        <v>0</v>
      </c>
      <c r="BH613" s="1729"/>
      <c r="BI613" s="1733">
        <f t="shared" si="9"/>
        <v>0</v>
      </c>
      <c r="BJ613" s="1735"/>
      <c r="BK613" s="1727">
        <f t="shared" si="7"/>
        <v>0</v>
      </c>
      <c r="BL613" s="1729"/>
      <c r="BN613" s="1727">
        <f t="shared" si="0"/>
        <v>0</v>
      </c>
      <c r="BO613" s="1728"/>
      <c r="BP613" s="1728"/>
      <c r="BQ613" s="1728"/>
      <c r="BR613" s="1736"/>
      <c r="BS613" s="1727">
        <f t="shared" si="1"/>
        <v>0</v>
      </c>
      <c r="BT613" s="1728"/>
      <c r="BU613" s="1728"/>
      <c r="BV613" s="1728"/>
      <c r="BW613" s="1729"/>
      <c r="BX613" s="1727">
        <f t="shared" si="2"/>
        <v>0</v>
      </c>
      <c r="BY613" s="1728"/>
      <c r="BZ613" s="1728"/>
      <c r="CA613" s="1728"/>
      <c r="CB613" s="1729"/>
      <c r="CC613" s="1727">
        <f t="shared" si="3"/>
        <v>0</v>
      </c>
      <c r="CD613" s="1728"/>
      <c r="CE613" s="1728"/>
      <c r="CF613" s="1728"/>
      <c r="CG613" s="1729"/>
      <c r="CH613" s="1727">
        <f t="shared" si="4"/>
        <v>0</v>
      </c>
      <c r="CI613" s="1728"/>
      <c r="CJ613" s="1728"/>
      <c r="CK613" s="1728"/>
      <c r="CL613" s="1729"/>
      <c r="CM613" s="1727">
        <f t="shared" si="5"/>
        <v>0</v>
      </c>
      <c r="CN613" s="1728"/>
      <c r="CO613" s="1728"/>
      <c r="CP613" s="1728"/>
      <c r="CQ613" s="1729"/>
      <c r="CS613" s="1739">
        <f t="shared" si="10"/>
        <v>0</v>
      </c>
      <c r="CT613" s="1740"/>
      <c r="CU613" s="1740"/>
      <c r="CV613" s="1740"/>
      <c r="CW613" s="1741"/>
      <c r="CX613" s="1739">
        <f t="shared" si="11"/>
        <v>0</v>
      </c>
      <c r="CY613" s="1740"/>
      <c r="CZ613" s="1740"/>
      <c r="DA613" s="1740"/>
      <c r="DB613" s="1741"/>
      <c r="DC613" s="1739">
        <f t="shared" si="12"/>
        <v>0</v>
      </c>
      <c r="DD613" s="1740"/>
      <c r="DE613" s="1740"/>
      <c r="DF613" s="1740"/>
      <c r="DG613" s="1741"/>
      <c r="DH613" s="1739">
        <f t="shared" si="13"/>
        <v>0</v>
      </c>
      <c r="DI613" s="1740"/>
      <c r="DJ613" s="1740"/>
      <c r="DK613" s="1740"/>
      <c r="DL613" s="1741"/>
      <c r="DM613" s="1739">
        <f t="shared" si="14"/>
        <v>0</v>
      </c>
      <c r="DN613" s="1740"/>
      <c r="DO613" s="1740"/>
      <c r="DP613" s="1740"/>
      <c r="DQ613" s="1741"/>
      <c r="DR613" s="1739">
        <f t="shared" si="15"/>
        <v>0</v>
      </c>
      <c r="DS613" s="1740"/>
      <c r="DT613" s="1740"/>
      <c r="DU613" s="1740"/>
      <c r="DV613" s="1741"/>
    </row>
    <row r="614" spans="1:126" ht="13.2">
      <c r="B614" s="16" t="s">
        <v>479</v>
      </c>
      <c r="G614" s="1697"/>
      <c r="H614" s="1697"/>
      <c r="I614" s="1697"/>
      <c r="J614" s="1697"/>
      <c r="K614" s="1697"/>
      <c r="L614" s="1697"/>
      <c r="M614" s="1697"/>
      <c r="N614" s="1697"/>
      <c r="O614" s="1697"/>
      <c r="P614" s="1697"/>
      <c r="Q614" s="1697"/>
      <c r="R614" s="1697"/>
      <c r="U614" s="16" t="s">
        <v>479</v>
      </c>
      <c r="Z614" s="1705"/>
      <c r="AA614" s="1705"/>
      <c r="AB614" s="1705"/>
      <c r="AC614" s="1705"/>
      <c r="AD614" s="1705"/>
      <c r="AE614" s="1705"/>
      <c r="AF614" s="1705"/>
      <c r="AG614" s="1705"/>
      <c r="AH614" s="1705"/>
      <c r="AI614" s="1705"/>
      <c r="AJ614" s="1705"/>
      <c r="AK614" s="1705"/>
      <c r="AL614" s="488"/>
      <c r="BA614" s="72"/>
      <c r="BB614" s="72"/>
      <c r="BC614" s="72"/>
      <c r="BD614" s="72"/>
      <c r="BE614" s="1733">
        <f t="shared" si="8"/>
        <v>0</v>
      </c>
      <c r="BF614" s="1735"/>
      <c r="BG614" s="1727">
        <f t="shared" si="6"/>
        <v>0</v>
      </c>
      <c r="BH614" s="1729"/>
      <c r="BI614" s="1733">
        <f t="shared" si="9"/>
        <v>0</v>
      </c>
      <c r="BJ614" s="1735"/>
      <c r="BK614" s="1727">
        <f t="shared" si="7"/>
        <v>0</v>
      </c>
      <c r="BL614" s="1729"/>
      <c r="BN614" s="1727">
        <f t="shared" si="0"/>
        <v>0</v>
      </c>
      <c r="BO614" s="1728"/>
      <c r="BP614" s="1728"/>
      <c r="BQ614" s="1728"/>
      <c r="BR614" s="1736"/>
      <c r="BS614" s="1727">
        <f t="shared" si="1"/>
        <v>0</v>
      </c>
      <c r="BT614" s="1728"/>
      <c r="BU614" s="1728"/>
      <c r="BV614" s="1728"/>
      <c r="BW614" s="1729"/>
      <c r="BX614" s="1727">
        <f t="shared" si="2"/>
        <v>0</v>
      </c>
      <c r="BY614" s="1728"/>
      <c r="BZ614" s="1728"/>
      <c r="CA614" s="1728"/>
      <c r="CB614" s="1729"/>
      <c r="CC614" s="1727">
        <f t="shared" si="3"/>
        <v>0</v>
      </c>
      <c r="CD614" s="1728"/>
      <c r="CE614" s="1728"/>
      <c r="CF614" s="1728"/>
      <c r="CG614" s="1729"/>
      <c r="CH614" s="1727">
        <f t="shared" si="4"/>
        <v>0</v>
      </c>
      <c r="CI614" s="1728"/>
      <c r="CJ614" s="1728"/>
      <c r="CK614" s="1728"/>
      <c r="CL614" s="1729"/>
      <c r="CM614" s="1727">
        <f t="shared" si="5"/>
        <v>0</v>
      </c>
      <c r="CN614" s="1728"/>
      <c r="CO614" s="1728"/>
      <c r="CP614" s="1728"/>
      <c r="CQ614" s="1729"/>
      <c r="CS614" s="1739">
        <f t="shared" si="10"/>
        <v>0</v>
      </c>
      <c r="CT614" s="1740"/>
      <c r="CU614" s="1740"/>
      <c r="CV614" s="1740"/>
      <c r="CW614" s="1741"/>
      <c r="CX614" s="1739">
        <f t="shared" si="11"/>
        <v>0</v>
      </c>
      <c r="CY614" s="1740"/>
      <c r="CZ614" s="1740"/>
      <c r="DA614" s="1740"/>
      <c r="DB614" s="1741"/>
      <c r="DC614" s="1739">
        <f t="shared" si="12"/>
        <v>0</v>
      </c>
      <c r="DD614" s="1740"/>
      <c r="DE614" s="1740"/>
      <c r="DF614" s="1740"/>
      <c r="DG614" s="1741"/>
      <c r="DH614" s="1739">
        <f t="shared" si="13"/>
        <v>0</v>
      </c>
      <c r="DI614" s="1740"/>
      <c r="DJ614" s="1740"/>
      <c r="DK614" s="1740"/>
      <c r="DL614" s="1741"/>
      <c r="DM614" s="1739">
        <f t="shared" si="14"/>
        <v>0</v>
      </c>
      <c r="DN614" s="1740"/>
      <c r="DO614" s="1740"/>
      <c r="DP614" s="1740"/>
      <c r="DQ614" s="1741"/>
      <c r="DR614" s="1739">
        <f t="shared" si="15"/>
        <v>0</v>
      </c>
      <c r="DS614" s="1740"/>
      <c r="DT614" s="1740"/>
      <c r="DU614" s="1740"/>
      <c r="DV614" s="1741"/>
    </row>
    <row r="615" spans="1:126" ht="13.2">
      <c r="B615" s="16" t="s">
        <v>915</v>
      </c>
      <c r="G615" s="1697"/>
      <c r="H615" s="1697"/>
      <c r="I615" s="1697"/>
      <c r="J615" s="1697"/>
      <c r="K615" s="1697"/>
      <c r="L615" s="1697"/>
      <c r="M615" s="1697"/>
      <c r="N615" s="1697"/>
      <c r="O615" s="1697"/>
      <c r="P615" s="1697"/>
      <c r="Q615" s="1697"/>
      <c r="R615" s="1697"/>
      <c r="U615" s="16" t="s">
        <v>915</v>
      </c>
      <c r="Z615" s="1705"/>
      <c r="AA615" s="1705"/>
      <c r="AB615" s="1705"/>
      <c r="AC615" s="1705"/>
      <c r="AD615" s="1705"/>
      <c r="AE615" s="1705"/>
      <c r="AF615" s="1705"/>
      <c r="AG615" s="1705"/>
      <c r="AH615" s="1705"/>
      <c r="AI615" s="1705"/>
      <c r="AJ615" s="1705"/>
      <c r="AK615" s="1705"/>
      <c r="AL615" s="488"/>
      <c r="BA615" s="72"/>
      <c r="BB615" s="72"/>
      <c r="BC615" s="72"/>
      <c r="BD615" s="72"/>
      <c r="BE615" s="1733">
        <f t="shared" si="8"/>
        <v>0</v>
      </c>
      <c r="BF615" s="1735"/>
      <c r="BG615" s="1727">
        <f t="shared" si="6"/>
        <v>0</v>
      </c>
      <c r="BH615" s="1729"/>
      <c r="BI615" s="1733">
        <f t="shared" si="9"/>
        <v>0</v>
      </c>
      <c r="BJ615" s="1735"/>
      <c r="BK615" s="1727">
        <f t="shared" si="7"/>
        <v>0</v>
      </c>
      <c r="BL615" s="1729"/>
      <c r="BN615" s="1727">
        <f t="shared" si="0"/>
        <v>0</v>
      </c>
      <c r="BO615" s="1728"/>
      <c r="BP615" s="1728"/>
      <c r="BQ615" s="1728"/>
      <c r="BR615" s="1736"/>
      <c r="BS615" s="1727">
        <f t="shared" si="1"/>
        <v>0</v>
      </c>
      <c r="BT615" s="1728"/>
      <c r="BU615" s="1728"/>
      <c r="BV615" s="1728"/>
      <c r="BW615" s="1729"/>
      <c r="BX615" s="1727">
        <f t="shared" si="2"/>
        <v>0</v>
      </c>
      <c r="BY615" s="1728"/>
      <c r="BZ615" s="1728"/>
      <c r="CA615" s="1728"/>
      <c r="CB615" s="1729"/>
      <c r="CC615" s="1727">
        <f t="shared" si="3"/>
        <v>0</v>
      </c>
      <c r="CD615" s="1728"/>
      <c r="CE615" s="1728"/>
      <c r="CF615" s="1728"/>
      <c r="CG615" s="1729"/>
      <c r="CH615" s="1727">
        <f t="shared" si="4"/>
        <v>0</v>
      </c>
      <c r="CI615" s="1728"/>
      <c r="CJ615" s="1728"/>
      <c r="CK615" s="1728"/>
      <c r="CL615" s="1729"/>
      <c r="CM615" s="1727">
        <f t="shared" si="5"/>
        <v>0</v>
      </c>
      <c r="CN615" s="1728"/>
      <c r="CO615" s="1728"/>
      <c r="CP615" s="1728"/>
      <c r="CQ615" s="1729"/>
      <c r="CS615" s="1739">
        <f t="shared" si="10"/>
        <v>0</v>
      </c>
      <c r="CT615" s="1740"/>
      <c r="CU615" s="1740"/>
      <c r="CV615" s="1740"/>
      <c r="CW615" s="1741"/>
      <c r="CX615" s="1739">
        <f t="shared" si="11"/>
        <v>0</v>
      </c>
      <c r="CY615" s="1740"/>
      <c r="CZ615" s="1740"/>
      <c r="DA615" s="1740"/>
      <c r="DB615" s="1741"/>
      <c r="DC615" s="1739">
        <f t="shared" si="12"/>
        <v>0</v>
      </c>
      <c r="DD615" s="1740"/>
      <c r="DE615" s="1740"/>
      <c r="DF615" s="1740"/>
      <c r="DG615" s="1741"/>
      <c r="DH615" s="1739">
        <f t="shared" si="13"/>
        <v>0</v>
      </c>
      <c r="DI615" s="1740"/>
      <c r="DJ615" s="1740"/>
      <c r="DK615" s="1740"/>
      <c r="DL615" s="1741"/>
      <c r="DM615" s="1739">
        <f t="shared" si="14"/>
        <v>0</v>
      </c>
      <c r="DN615" s="1740"/>
      <c r="DO615" s="1740"/>
      <c r="DP615" s="1740"/>
      <c r="DQ615" s="1741"/>
      <c r="DR615" s="1739">
        <f t="shared" si="15"/>
        <v>0</v>
      </c>
      <c r="DS615" s="1740"/>
      <c r="DT615" s="1740"/>
      <c r="DU615" s="1740"/>
      <c r="DV615" s="1741"/>
    </row>
    <row r="616" spans="1:126" ht="13.2">
      <c r="B616" s="16" t="s">
        <v>716</v>
      </c>
      <c r="G616" s="1699"/>
      <c r="H616" s="1699"/>
      <c r="I616" s="1699"/>
      <c r="J616" s="1699"/>
      <c r="K616" s="1699"/>
      <c r="L616" s="1699"/>
      <c r="O616" s="149" t="s">
        <v>900</v>
      </c>
      <c r="P616" s="1695"/>
      <c r="Q616" s="1695"/>
      <c r="R616" s="1695"/>
      <c r="U616" s="16" t="s">
        <v>716</v>
      </c>
      <c r="Z616" s="1699"/>
      <c r="AA616" s="1699"/>
      <c r="AB616" s="1699"/>
      <c r="AC616" s="1699"/>
      <c r="AD616" s="1699"/>
      <c r="AE616" s="1699"/>
      <c r="AH616" s="149" t="s">
        <v>900</v>
      </c>
      <c r="AI616" s="1695"/>
      <c r="AJ616" s="1695"/>
      <c r="AK616" s="1695"/>
      <c r="AL616" s="3"/>
      <c r="AZ616" s="72"/>
      <c r="BA616" s="72"/>
      <c r="BB616" s="72"/>
      <c r="BC616" s="72"/>
      <c r="BD616" s="72"/>
      <c r="BE616" s="1733">
        <f t="shared" si="8"/>
        <v>0</v>
      </c>
      <c r="BF616" s="1735"/>
      <c r="BG616" s="1727">
        <f t="shared" si="6"/>
        <v>0</v>
      </c>
      <c r="BH616" s="1729"/>
      <c r="BI616" s="1733">
        <f t="shared" si="9"/>
        <v>0</v>
      </c>
      <c r="BJ616" s="1735"/>
      <c r="BK616" s="1727">
        <f t="shared" si="7"/>
        <v>0</v>
      </c>
      <c r="BL616" s="1729"/>
      <c r="BN616" s="1727">
        <f t="shared" si="0"/>
        <v>0</v>
      </c>
      <c r="BO616" s="1728"/>
      <c r="BP616" s="1728"/>
      <c r="BQ616" s="1728"/>
      <c r="BR616" s="1736"/>
      <c r="BS616" s="1727">
        <f t="shared" si="1"/>
        <v>0</v>
      </c>
      <c r="BT616" s="1728"/>
      <c r="BU616" s="1728"/>
      <c r="BV616" s="1728"/>
      <c r="BW616" s="1729"/>
      <c r="BX616" s="1727">
        <f t="shared" si="2"/>
        <v>0</v>
      </c>
      <c r="BY616" s="1728"/>
      <c r="BZ616" s="1728"/>
      <c r="CA616" s="1728"/>
      <c r="CB616" s="1729"/>
      <c r="CC616" s="1727">
        <f t="shared" si="3"/>
        <v>0</v>
      </c>
      <c r="CD616" s="1728"/>
      <c r="CE616" s="1728"/>
      <c r="CF616" s="1728"/>
      <c r="CG616" s="1729"/>
      <c r="CH616" s="1727">
        <f t="shared" si="4"/>
        <v>0</v>
      </c>
      <c r="CI616" s="1728"/>
      <c r="CJ616" s="1728"/>
      <c r="CK616" s="1728"/>
      <c r="CL616" s="1729"/>
      <c r="CM616" s="1727">
        <f t="shared" si="5"/>
        <v>0</v>
      </c>
      <c r="CN616" s="1728"/>
      <c r="CO616" s="1728"/>
      <c r="CP616" s="1728"/>
      <c r="CQ616" s="1729"/>
      <c r="CS616" s="1739">
        <f t="shared" si="10"/>
        <v>0</v>
      </c>
      <c r="CT616" s="1740"/>
      <c r="CU616" s="1740"/>
      <c r="CV616" s="1740"/>
      <c r="CW616" s="1741"/>
      <c r="CX616" s="1739">
        <f t="shared" si="11"/>
        <v>0</v>
      </c>
      <c r="CY616" s="1740"/>
      <c r="CZ616" s="1740"/>
      <c r="DA616" s="1740"/>
      <c r="DB616" s="1741"/>
      <c r="DC616" s="1739">
        <f t="shared" si="12"/>
        <v>0</v>
      </c>
      <c r="DD616" s="1740"/>
      <c r="DE616" s="1740"/>
      <c r="DF616" s="1740"/>
      <c r="DG616" s="1741"/>
      <c r="DH616" s="1739">
        <f t="shared" si="13"/>
        <v>0</v>
      </c>
      <c r="DI616" s="1740"/>
      <c r="DJ616" s="1740"/>
      <c r="DK616" s="1740"/>
      <c r="DL616" s="1741"/>
      <c r="DM616" s="1739">
        <f t="shared" si="14"/>
        <v>0</v>
      </c>
      <c r="DN616" s="1740"/>
      <c r="DO616" s="1740"/>
      <c r="DP616" s="1740"/>
      <c r="DQ616" s="1741"/>
      <c r="DR616" s="1739">
        <f t="shared" si="15"/>
        <v>0</v>
      </c>
      <c r="DS616" s="1740"/>
      <c r="DT616" s="1740"/>
      <c r="DU616" s="1740"/>
      <c r="DV616" s="1741"/>
    </row>
    <row r="617" spans="1:126" ht="13.2">
      <c r="B617" s="16" t="s">
        <v>916</v>
      </c>
      <c r="H617" s="1697"/>
      <c r="I617" s="1697"/>
      <c r="J617" s="1697"/>
      <c r="K617" s="1697"/>
      <c r="L617" s="1697"/>
      <c r="M617" s="1697"/>
      <c r="N617" s="1697"/>
      <c r="O617" s="1697"/>
      <c r="P617" s="1697"/>
      <c r="Q617" s="1697"/>
      <c r="R617" s="1697"/>
      <c r="U617" s="16" t="s">
        <v>916</v>
      </c>
      <c r="AA617" s="1697"/>
      <c r="AB617" s="1697"/>
      <c r="AC617" s="1697"/>
      <c r="AD617" s="1697"/>
      <c r="AE617" s="1697"/>
      <c r="AF617" s="1697"/>
      <c r="AG617" s="1697"/>
      <c r="AH617" s="1697"/>
      <c r="AI617" s="1697"/>
      <c r="AJ617" s="1697"/>
      <c r="AK617" s="1697"/>
      <c r="AL617" s="3"/>
      <c r="AZ617" s="72"/>
      <c r="BA617" s="72"/>
      <c r="BB617" s="72"/>
      <c r="BC617" s="72"/>
      <c r="BD617" s="72"/>
      <c r="BE617" s="1733">
        <f t="shared" si="8"/>
        <v>0</v>
      </c>
      <c r="BF617" s="1735"/>
      <c r="BG617" s="1727">
        <f t="shared" si="6"/>
        <v>0</v>
      </c>
      <c r="BH617" s="1729"/>
      <c r="BI617" s="1733">
        <f t="shared" si="9"/>
        <v>0</v>
      </c>
      <c r="BJ617" s="1735"/>
      <c r="BK617" s="1727">
        <f t="shared" si="7"/>
        <v>0</v>
      </c>
      <c r="BL617" s="1729"/>
      <c r="BN617" s="1727">
        <f t="shared" si="0"/>
        <v>0</v>
      </c>
      <c r="BO617" s="1728"/>
      <c r="BP617" s="1728"/>
      <c r="BQ617" s="1728"/>
      <c r="BR617" s="1736"/>
      <c r="BS617" s="1727">
        <f t="shared" si="1"/>
        <v>0</v>
      </c>
      <c r="BT617" s="1728"/>
      <c r="BU617" s="1728"/>
      <c r="BV617" s="1728"/>
      <c r="BW617" s="1729"/>
      <c r="BX617" s="1727">
        <f t="shared" si="2"/>
        <v>0</v>
      </c>
      <c r="BY617" s="1728"/>
      <c r="BZ617" s="1728"/>
      <c r="CA617" s="1728"/>
      <c r="CB617" s="1729"/>
      <c r="CC617" s="1727">
        <f t="shared" si="3"/>
        <v>0</v>
      </c>
      <c r="CD617" s="1728"/>
      <c r="CE617" s="1728"/>
      <c r="CF617" s="1728"/>
      <c r="CG617" s="1729"/>
      <c r="CH617" s="1727">
        <f t="shared" si="4"/>
        <v>0</v>
      </c>
      <c r="CI617" s="1728"/>
      <c r="CJ617" s="1728"/>
      <c r="CK617" s="1728"/>
      <c r="CL617" s="1729"/>
      <c r="CM617" s="1727">
        <f t="shared" si="5"/>
        <v>0</v>
      </c>
      <c r="CN617" s="1728"/>
      <c r="CO617" s="1728"/>
      <c r="CP617" s="1728"/>
      <c r="CQ617" s="1729"/>
      <c r="CS617" s="1739">
        <f t="shared" si="10"/>
        <v>0</v>
      </c>
      <c r="CT617" s="1740"/>
      <c r="CU617" s="1740"/>
      <c r="CV617" s="1740"/>
      <c r="CW617" s="1741"/>
      <c r="CX617" s="1739">
        <f t="shared" si="11"/>
        <v>0</v>
      </c>
      <c r="CY617" s="1740"/>
      <c r="CZ617" s="1740"/>
      <c r="DA617" s="1740"/>
      <c r="DB617" s="1741"/>
      <c r="DC617" s="1739">
        <f t="shared" si="12"/>
        <v>0</v>
      </c>
      <c r="DD617" s="1740"/>
      <c r="DE617" s="1740"/>
      <c r="DF617" s="1740"/>
      <c r="DG617" s="1741"/>
      <c r="DH617" s="1739">
        <f t="shared" si="13"/>
        <v>0</v>
      </c>
      <c r="DI617" s="1740"/>
      <c r="DJ617" s="1740"/>
      <c r="DK617" s="1740"/>
      <c r="DL617" s="1741"/>
      <c r="DM617" s="1739">
        <f t="shared" si="14"/>
        <v>0</v>
      </c>
      <c r="DN617" s="1740"/>
      <c r="DO617" s="1740"/>
      <c r="DP617" s="1740"/>
      <c r="DQ617" s="1741"/>
      <c r="DR617" s="1739">
        <f t="shared" si="15"/>
        <v>0</v>
      </c>
      <c r="DS617" s="1740"/>
      <c r="DT617" s="1740"/>
      <c r="DU617" s="1740"/>
      <c r="DV617" s="1741"/>
    </row>
    <row r="618" spans="1:126" ht="12.75" customHeight="1">
      <c r="B618" s="16" t="s">
        <v>918</v>
      </c>
      <c r="N618" s="1696" t="s">
        <v>531</v>
      </c>
      <c r="O618" s="1696"/>
      <c r="U618" s="16" t="s">
        <v>918</v>
      </c>
      <c r="AG618" s="1696" t="s">
        <v>531</v>
      </c>
      <c r="AH618" s="1696"/>
      <c r="AL618" s="3"/>
      <c r="AZ618" s="72"/>
      <c r="BA618" s="72"/>
      <c r="BB618" s="72"/>
      <c r="BC618" s="72"/>
      <c r="BD618" s="72"/>
      <c r="BE618" s="1733">
        <f t="shared" si="8"/>
        <v>0</v>
      </c>
      <c r="BF618" s="1735"/>
      <c r="BG618" s="1727">
        <f t="shared" si="6"/>
        <v>0</v>
      </c>
      <c r="BH618" s="1729"/>
      <c r="BI618" s="1733">
        <f t="shared" si="9"/>
        <v>0</v>
      </c>
      <c r="BJ618" s="1735"/>
      <c r="BK618" s="1727">
        <f t="shared" si="7"/>
        <v>0</v>
      </c>
      <c r="BL618" s="1729"/>
      <c r="BN618" s="1727">
        <f t="shared" si="0"/>
        <v>0</v>
      </c>
      <c r="BO618" s="1728"/>
      <c r="BP618" s="1728"/>
      <c r="BQ618" s="1728"/>
      <c r="BR618" s="1736"/>
      <c r="BS618" s="1727">
        <f t="shared" si="1"/>
        <v>0</v>
      </c>
      <c r="BT618" s="1728"/>
      <c r="BU618" s="1728"/>
      <c r="BV618" s="1728"/>
      <c r="BW618" s="1729"/>
      <c r="BX618" s="1727">
        <f t="shared" si="2"/>
        <v>0</v>
      </c>
      <c r="BY618" s="1728"/>
      <c r="BZ618" s="1728"/>
      <c r="CA618" s="1728"/>
      <c r="CB618" s="1729"/>
      <c r="CC618" s="1727">
        <f t="shared" si="3"/>
        <v>0</v>
      </c>
      <c r="CD618" s="1728"/>
      <c r="CE618" s="1728"/>
      <c r="CF618" s="1728"/>
      <c r="CG618" s="1729"/>
      <c r="CH618" s="1727">
        <f t="shared" si="4"/>
        <v>0</v>
      </c>
      <c r="CI618" s="1728"/>
      <c r="CJ618" s="1728"/>
      <c r="CK618" s="1728"/>
      <c r="CL618" s="1729"/>
      <c r="CM618" s="1727">
        <f t="shared" si="5"/>
        <v>0</v>
      </c>
      <c r="CN618" s="1728"/>
      <c r="CO618" s="1728"/>
      <c r="CP618" s="1728"/>
      <c r="CQ618" s="1729"/>
      <c r="CS618" s="1739">
        <f t="shared" si="10"/>
        <v>0</v>
      </c>
      <c r="CT618" s="1740"/>
      <c r="CU618" s="1740"/>
      <c r="CV618" s="1740"/>
      <c r="CW618" s="1741"/>
      <c r="CX618" s="1739">
        <f t="shared" si="11"/>
        <v>0</v>
      </c>
      <c r="CY618" s="1740"/>
      <c r="CZ618" s="1740"/>
      <c r="DA618" s="1740"/>
      <c r="DB618" s="1741"/>
      <c r="DC618" s="1739">
        <f t="shared" si="12"/>
        <v>0</v>
      </c>
      <c r="DD618" s="1740"/>
      <c r="DE618" s="1740"/>
      <c r="DF618" s="1740"/>
      <c r="DG618" s="1741"/>
      <c r="DH618" s="1739">
        <f t="shared" si="13"/>
        <v>0</v>
      </c>
      <c r="DI618" s="1740"/>
      <c r="DJ618" s="1740"/>
      <c r="DK618" s="1740"/>
      <c r="DL618" s="1741"/>
      <c r="DM618" s="1739">
        <f t="shared" si="14"/>
        <v>0</v>
      </c>
      <c r="DN618" s="1740"/>
      <c r="DO618" s="1740"/>
      <c r="DP618" s="1740"/>
      <c r="DQ618" s="1741"/>
      <c r="DR618" s="1739">
        <f t="shared" si="15"/>
        <v>0</v>
      </c>
      <c r="DS618" s="1740"/>
      <c r="DT618" s="1740"/>
      <c r="DU618" s="1740"/>
      <c r="DV618" s="1741"/>
    </row>
    <row r="619" spans="1:126" ht="13.2">
      <c r="AZ619" s="72"/>
      <c r="BA619" s="72"/>
      <c r="BB619" s="72"/>
      <c r="BC619" s="72"/>
      <c r="BD619" s="72"/>
      <c r="BE619" s="1733">
        <f t="shared" si="8"/>
        <v>0</v>
      </c>
      <c r="BF619" s="1735"/>
      <c r="BG619" s="1727">
        <f t="shared" si="6"/>
        <v>0</v>
      </c>
      <c r="BH619" s="1729"/>
      <c r="BI619" s="1733">
        <f t="shared" si="9"/>
        <v>0</v>
      </c>
      <c r="BJ619" s="1735"/>
      <c r="BK619" s="1727">
        <f t="shared" si="7"/>
        <v>0</v>
      </c>
      <c r="BL619" s="1729"/>
      <c r="BN619" s="1727">
        <f t="shared" si="0"/>
        <v>0</v>
      </c>
      <c r="BO619" s="1728"/>
      <c r="BP619" s="1728"/>
      <c r="BQ619" s="1728"/>
      <c r="BR619" s="1736"/>
      <c r="BS619" s="1727">
        <f t="shared" si="1"/>
        <v>0</v>
      </c>
      <c r="BT619" s="1728"/>
      <c r="BU619" s="1728"/>
      <c r="BV619" s="1728"/>
      <c r="BW619" s="1729"/>
      <c r="BX619" s="1727">
        <f t="shared" si="2"/>
        <v>0</v>
      </c>
      <c r="BY619" s="1728"/>
      <c r="BZ619" s="1728"/>
      <c r="CA619" s="1728"/>
      <c r="CB619" s="1729"/>
      <c r="CC619" s="1727">
        <f t="shared" si="3"/>
        <v>0</v>
      </c>
      <c r="CD619" s="1728"/>
      <c r="CE619" s="1728"/>
      <c r="CF619" s="1728"/>
      <c r="CG619" s="1729"/>
      <c r="CH619" s="1727">
        <f t="shared" si="4"/>
        <v>0</v>
      </c>
      <c r="CI619" s="1728"/>
      <c r="CJ619" s="1728"/>
      <c r="CK619" s="1728"/>
      <c r="CL619" s="1729"/>
      <c r="CM619" s="1727">
        <f t="shared" si="5"/>
        <v>0</v>
      </c>
      <c r="CN619" s="1728"/>
      <c r="CO619" s="1728"/>
      <c r="CP619" s="1728"/>
      <c r="CQ619" s="1729"/>
      <c r="CS619" s="1739">
        <f t="shared" si="10"/>
        <v>0</v>
      </c>
      <c r="CT619" s="1740"/>
      <c r="CU619" s="1740"/>
      <c r="CV619" s="1740"/>
      <c r="CW619" s="1741"/>
      <c r="CX619" s="1739">
        <f t="shared" si="11"/>
        <v>0</v>
      </c>
      <c r="CY619" s="1740"/>
      <c r="CZ619" s="1740"/>
      <c r="DA619" s="1740"/>
      <c r="DB619" s="1741"/>
      <c r="DC619" s="1739">
        <f t="shared" si="12"/>
        <v>0</v>
      </c>
      <c r="DD619" s="1740"/>
      <c r="DE619" s="1740"/>
      <c r="DF619" s="1740"/>
      <c r="DG619" s="1741"/>
      <c r="DH619" s="1739">
        <f t="shared" si="13"/>
        <v>0</v>
      </c>
      <c r="DI619" s="1740"/>
      <c r="DJ619" s="1740"/>
      <c r="DK619" s="1740"/>
      <c r="DL619" s="1741"/>
      <c r="DM619" s="1739">
        <f t="shared" si="14"/>
        <v>0</v>
      </c>
      <c r="DN619" s="1740"/>
      <c r="DO619" s="1740"/>
      <c r="DP619" s="1740"/>
      <c r="DQ619" s="1741"/>
      <c r="DR619" s="1739">
        <f t="shared" si="15"/>
        <v>0</v>
      </c>
      <c r="DS619" s="1740"/>
      <c r="DT619" s="1740"/>
      <c r="DU619" s="1740"/>
      <c r="DV619" s="1741"/>
    </row>
    <row r="620" spans="1:126" ht="12.75" customHeight="1">
      <c r="A620" s="1436" t="s">
        <v>138</v>
      </c>
      <c r="B620" s="1436"/>
      <c r="C620" s="1436"/>
      <c r="D620" s="1436"/>
      <c r="E620" s="1436"/>
      <c r="F620" s="1436"/>
      <c r="G620" s="1436"/>
      <c r="H620" s="1436"/>
      <c r="I620" s="1436"/>
      <c r="J620" s="1436"/>
      <c r="K620" s="1436"/>
      <c r="L620" s="1436"/>
      <c r="M620" s="1436"/>
      <c r="N620" s="1436"/>
      <c r="O620" s="1436"/>
      <c r="P620" s="1436"/>
      <c r="Q620" s="1436"/>
      <c r="R620" s="1436"/>
      <c r="S620" s="1436"/>
      <c r="T620" s="1436"/>
      <c r="U620" s="1436"/>
      <c r="V620" s="1436"/>
      <c r="W620" s="1436"/>
      <c r="X620" s="1436"/>
      <c r="Y620" s="1436"/>
      <c r="Z620" s="1436"/>
      <c r="AA620" s="1436"/>
      <c r="AB620" s="1436"/>
      <c r="AC620" s="1436"/>
      <c r="AD620" s="1436"/>
      <c r="AE620" s="1436"/>
      <c r="AF620" s="1436"/>
      <c r="AG620" s="1436"/>
      <c r="AH620" s="1436"/>
      <c r="AI620" s="1436"/>
      <c r="AJ620" s="1436"/>
      <c r="AK620" s="1436"/>
      <c r="AL620" s="1436"/>
      <c r="AM620" s="1436"/>
      <c r="AN620" s="1436"/>
      <c r="AO620" s="1436"/>
      <c r="AP620" s="1436"/>
      <c r="AQ620" s="1436"/>
      <c r="AR620" s="1436"/>
      <c r="AS620" s="1436"/>
      <c r="AZ620" s="72"/>
      <c r="BA620" s="72"/>
      <c r="BB620" s="72"/>
      <c r="BC620" s="72"/>
      <c r="BD620" s="72"/>
      <c r="BE620" s="1733">
        <f t="shared" si="8"/>
        <v>0</v>
      </c>
      <c r="BF620" s="1735"/>
      <c r="BG620" s="1727">
        <f t="shared" si="6"/>
        <v>0</v>
      </c>
      <c r="BH620" s="1729"/>
      <c r="BI620" s="1733">
        <f t="shared" si="9"/>
        <v>0</v>
      </c>
      <c r="BJ620" s="1735"/>
      <c r="BK620" s="1727">
        <f t="shared" si="7"/>
        <v>0</v>
      </c>
      <c r="BL620" s="1729"/>
      <c r="BN620" s="1727">
        <f t="shared" si="0"/>
        <v>0</v>
      </c>
      <c r="BO620" s="1728"/>
      <c r="BP620" s="1728"/>
      <c r="BQ620" s="1728"/>
      <c r="BR620" s="1736"/>
      <c r="BS620" s="1727">
        <f t="shared" si="1"/>
        <v>0</v>
      </c>
      <c r="BT620" s="1728"/>
      <c r="BU620" s="1728"/>
      <c r="BV620" s="1728"/>
      <c r="BW620" s="1729"/>
      <c r="BX620" s="1727">
        <f t="shared" si="2"/>
        <v>0</v>
      </c>
      <c r="BY620" s="1728"/>
      <c r="BZ620" s="1728"/>
      <c r="CA620" s="1728"/>
      <c r="CB620" s="1729"/>
      <c r="CC620" s="1727">
        <f t="shared" si="3"/>
        <v>0</v>
      </c>
      <c r="CD620" s="1728"/>
      <c r="CE620" s="1728"/>
      <c r="CF620" s="1728"/>
      <c r="CG620" s="1729"/>
      <c r="CH620" s="1727">
        <f t="shared" si="4"/>
        <v>0</v>
      </c>
      <c r="CI620" s="1728"/>
      <c r="CJ620" s="1728"/>
      <c r="CK620" s="1728"/>
      <c r="CL620" s="1729"/>
      <c r="CM620" s="1727">
        <f t="shared" si="5"/>
        <v>0</v>
      </c>
      <c r="CN620" s="1728"/>
      <c r="CO620" s="1728"/>
      <c r="CP620" s="1728"/>
      <c r="CQ620" s="1729"/>
      <c r="CS620" s="1739">
        <f t="shared" si="10"/>
        <v>0</v>
      </c>
      <c r="CT620" s="1740"/>
      <c r="CU620" s="1740"/>
      <c r="CV620" s="1740"/>
      <c r="CW620" s="1741"/>
      <c r="CX620" s="1739">
        <f t="shared" si="11"/>
        <v>0</v>
      </c>
      <c r="CY620" s="1740"/>
      <c r="CZ620" s="1740"/>
      <c r="DA620" s="1740"/>
      <c r="DB620" s="1741"/>
      <c r="DC620" s="1739">
        <f t="shared" si="12"/>
        <v>0</v>
      </c>
      <c r="DD620" s="1740"/>
      <c r="DE620" s="1740"/>
      <c r="DF620" s="1740"/>
      <c r="DG620" s="1741"/>
      <c r="DH620" s="1739">
        <f t="shared" si="13"/>
        <v>0</v>
      </c>
      <c r="DI620" s="1740"/>
      <c r="DJ620" s="1740"/>
      <c r="DK620" s="1740"/>
      <c r="DL620" s="1741"/>
      <c r="DM620" s="1739">
        <f t="shared" si="14"/>
        <v>0</v>
      </c>
      <c r="DN620" s="1740"/>
      <c r="DO620" s="1740"/>
      <c r="DP620" s="1740"/>
      <c r="DQ620" s="1741"/>
      <c r="DR620" s="1739">
        <f t="shared" si="15"/>
        <v>0</v>
      </c>
      <c r="DS620" s="1740"/>
      <c r="DT620" s="1740"/>
      <c r="DU620" s="1740"/>
      <c r="DV620" s="1741"/>
    </row>
    <row r="621" spans="1:126" ht="13.2">
      <c r="A621" s="1436"/>
      <c r="B621" s="1436"/>
      <c r="C621" s="1436"/>
      <c r="D621" s="1436"/>
      <c r="E621" s="1436"/>
      <c r="F621" s="1436"/>
      <c r="G621" s="1436"/>
      <c r="H621" s="1436"/>
      <c r="I621" s="1436"/>
      <c r="J621" s="1436"/>
      <c r="K621" s="1436"/>
      <c r="L621" s="1436"/>
      <c r="M621" s="1436"/>
      <c r="N621" s="1436"/>
      <c r="O621" s="1436"/>
      <c r="P621" s="1436"/>
      <c r="Q621" s="1436"/>
      <c r="R621" s="1436"/>
      <c r="S621" s="1436"/>
      <c r="T621" s="1436"/>
      <c r="U621" s="1436"/>
      <c r="V621" s="1436"/>
      <c r="W621" s="1436"/>
      <c r="X621" s="1436"/>
      <c r="Y621" s="1436"/>
      <c r="Z621" s="1436"/>
      <c r="AA621" s="1436"/>
      <c r="AB621" s="1436"/>
      <c r="AC621" s="1436"/>
      <c r="AD621" s="1436"/>
      <c r="AE621" s="1436"/>
      <c r="AF621" s="1436"/>
      <c r="AG621" s="1436"/>
      <c r="AH621" s="1436"/>
      <c r="AI621" s="1436"/>
      <c r="AJ621" s="1436"/>
      <c r="AK621" s="1436"/>
      <c r="AL621" s="1436"/>
      <c r="AM621" s="1436"/>
      <c r="AN621" s="1436"/>
      <c r="AO621" s="1436"/>
      <c r="AP621" s="1436"/>
      <c r="AQ621" s="1436"/>
      <c r="AR621" s="1436"/>
      <c r="AS621" s="1436"/>
      <c r="AZ621" s="72"/>
      <c r="BA621" s="72"/>
      <c r="BB621" s="72"/>
      <c r="BC621" s="72"/>
      <c r="BD621" s="72"/>
      <c r="BE621" s="1733">
        <f t="shared" si="8"/>
        <v>0</v>
      </c>
      <c r="BF621" s="1735"/>
      <c r="BG621" s="1727">
        <f t="shared" si="6"/>
        <v>0</v>
      </c>
      <c r="BH621" s="1729"/>
      <c r="BI621" s="1733">
        <f t="shared" si="9"/>
        <v>0</v>
      </c>
      <c r="BJ621" s="1735"/>
      <c r="BK621" s="1727">
        <f t="shared" si="7"/>
        <v>0</v>
      </c>
      <c r="BL621" s="1729"/>
      <c r="BN621" s="1727">
        <f t="shared" si="0"/>
        <v>0</v>
      </c>
      <c r="BO621" s="1728"/>
      <c r="BP621" s="1728"/>
      <c r="BQ621" s="1728"/>
      <c r="BR621" s="1736"/>
      <c r="BS621" s="1727">
        <f t="shared" si="1"/>
        <v>0</v>
      </c>
      <c r="BT621" s="1728"/>
      <c r="BU621" s="1728"/>
      <c r="BV621" s="1728"/>
      <c r="BW621" s="1729"/>
      <c r="BX621" s="1727">
        <f t="shared" si="2"/>
        <v>0</v>
      </c>
      <c r="BY621" s="1728"/>
      <c r="BZ621" s="1728"/>
      <c r="CA621" s="1728"/>
      <c r="CB621" s="1729"/>
      <c r="CC621" s="1727">
        <f t="shared" si="3"/>
        <v>0</v>
      </c>
      <c r="CD621" s="1728"/>
      <c r="CE621" s="1728"/>
      <c r="CF621" s="1728"/>
      <c r="CG621" s="1729"/>
      <c r="CH621" s="1727">
        <f t="shared" si="4"/>
        <v>0</v>
      </c>
      <c r="CI621" s="1728"/>
      <c r="CJ621" s="1728"/>
      <c r="CK621" s="1728"/>
      <c r="CL621" s="1729"/>
      <c r="CM621" s="1727">
        <f t="shared" si="5"/>
        <v>0</v>
      </c>
      <c r="CN621" s="1728"/>
      <c r="CO621" s="1728"/>
      <c r="CP621" s="1728"/>
      <c r="CQ621" s="1729"/>
      <c r="CS621" s="1739">
        <f t="shared" si="10"/>
        <v>0</v>
      </c>
      <c r="CT621" s="1740"/>
      <c r="CU621" s="1740"/>
      <c r="CV621" s="1740"/>
      <c r="CW621" s="1741"/>
      <c r="CX621" s="1739">
        <f t="shared" si="11"/>
        <v>0</v>
      </c>
      <c r="CY621" s="1740"/>
      <c r="CZ621" s="1740"/>
      <c r="DA621" s="1740"/>
      <c r="DB621" s="1741"/>
      <c r="DC621" s="1739">
        <f t="shared" si="12"/>
        <v>0</v>
      </c>
      <c r="DD621" s="1740"/>
      <c r="DE621" s="1740"/>
      <c r="DF621" s="1740"/>
      <c r="DG621" s="1741"/>
      <c r="DH621" s="1739">
        <f t="shared" si="13"/>
        <v>0</v>
      </c>
      <c r="DI621" s="1740"/>
      <c r="DJ621" s="1740"/>
      <c r="DK621" s="1740"/>
      <c r="DL621" s="1741"/>
      <c r="DM621" s="1739">
        <f t="shared" si="14"/>
        <v>0</v>
      </c>
      <c r="DN621" s="1740"/>
      <c r="DO621" s="1740"/>
      <c r="DP621" s="1740"/>
      <c r="DQ621" s="1741"/>
      <c r="DR621" s="1739">
        <f t="shared" si="15"/>
        <v>0</v>
      </c>
      <c r="DS621" s="1740"/>
      <c r="DT621" s="1740"/>
      <c r="DU621" s="1740"/>
      <c r="DV621" s="1741"/>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733">
        <f t="shared" si="8"/>
        <v>0</v>
      </c>
      <c r="BF622" s="1735"/>
      <c r="BG622" s="1727">
        <f t="shared" si="6"/>
        <v>0</v>
      </c>
      <c r="BH622" s="1729"/>
      <c r="BI622" s="1733">
        <f t="shared" si="9"/>
        <v>0</v>
      </c>
      <c r="BJ622" s="1735"/>
      <c r="BK622" s="1727">
        <f t="shared" si="7"/>
        <v>0</v>
      </c>
      <c r="BL622" s="1729"/>
      <c r="BN622" s="1727">
        <f t="shared" si="0"/>
        <v>0</v>
      </c>
      <c r="BO622" s="1728"/>
      <c r="BP622" s="1728"/>
      <c r="BQ622" s="1728"/>
      <c r="BR622" s="1736"/>
      <c r="BS622" s="1727">
        <f t="shared" si="1"/>
        <v>0</v>
      </c>
      <c r="BT622" s="1728"/>
      <c r="BU622" s="1728"/>
      <c r="BV622" s="1728"/>
      <c r="BW622" s="1729"/>
      <c r="BX622" s="1727">
        <f t="shared" si="2"/>
        <v>0</v>
      </c>
      <c r="BY622" s="1728"/>
      <c r="BZ622" s="1728"/>
      <c r="CA622" s="1728"/>
      <c r="CB622" s="1729"/>
      <c r="CC622" s="1727">
        <f t="shared" si="3"/>
        <v>0</v>
      </c>
      <c r="CD622" s="1728"/>
      <c r="CE622" s="1728"/>
      <c r="CF622" s="1728"/>
      <c r="CG622" s="1729"/>
      <c r="CH622" s="1727">
        <f t="shared" si="4"/>
        <v>0</v>
      </c>
      <c r="CI622" s="1728"/>
      <c r="CJ622" s="1728"/>
      <c r="CK622" s="1728"/>
      <c r="CL622" s="1729"/>
      <c r="CM622" s="1727">
        <f t="shared" si="5"/>
        <v>0</v>
      </c>
      <c r="CN622" s="1728"/>
      <c r="CO622" s="1728"/>
      <c r="CP622" s="1728"/>
      <c r="CQ622" s="1729"/>
      <c r="CS622" s="1739">
        <f t="shared" si="10"/>
        <v>0</v>
      </c>
      <c r="CT622" s="1740"/>
      <c r="CU622" s="1740"/>
      <c r="CV622" s="1740"/>
      <c r="CW622" s="1741"/>
      <c r="CX622" s="1739">
        <f t="shared" si="11"/>
        <v>0</v>
      </c>
      <c r="CY622" s="1740"/>
      <c r="CZ622" s="1740"/>
      <c r="DA622" s="1740"/>
      <c r="DB622" s="1741"/>
      <c r="DC622" s="1739">
        <f t="shared" si="12"/>
        <v>0</v>
      </c>
      <c r="DD622" s="1740"/>
      <c r="DE622" s="1740"/>
      <c r="DF622" s="1740"/>
      <c r="DG622" s="1741"/>
      <c r="DH622" s="1739">
        <f t="shared" si="13"/>
        <v>0</v>
      </c>
      <c r="DI622" s="1740"/>
      <c r="DJ622" s="1740"/>
      <c r="DK622" s="1740"/>
      <c r="DL622" s="1741"/>
      <c r="DM622" s="1739">
        <f t="shared" si="14"/>
        <v>0</v>
      </c>
      <c r="DN622" s="1740"/>
      <c r="DO622" s="1740"/>
      <c r="DP622" s="1740"/>
      <c r="DQ622" s="1741"/>
      <c r="DR622" s="1739">
        <f t="shared" si="15"/>
        <v>0</v>
      </c>
      <c r="DS622" s="1740"/>
      <c r="DT622" s="1740"/>
      <c r="DU622" s="1740"/>
      <c r="DV622" s="1741"/>
    </row>
    <row r="623" spans="1:126" ht="13.2">
      <c r="A623" s="63" t="s">
        <v>719</v>
      </c>
      <c r="B623" s="63"/>
      <c r="C623" s="63" t="s">
        <v>919</v>
      </c>
      <c r="AM623" s="50"/>
      <c r="AN623" s="50"/>
      <c r="AO623" s="50"/>
      <c r="AP623" s="50"/>
      <c r="AQ623" s="50"/>
      <c r="AR623" s="50"/>
      <c r="AS623" s="50"/>
      <c r="AZ623" s="72"/>
      <c r="BA623" s="72"/>
      <c r="BB623" s="72"/>
      <c r="BC623" s="72"/>
      <c r="BD623" s="72"/>
      <c r="BE623" s="1733">
        <f t="shared" si="8"/>
        <v>0</v>
      </c>
      <c r="BF623" s="1735"/>
      <c r="BG623" s="1727">
        <f t="shared" si="6"/>
        <v>0</v>
      </c>
      <c r="BH623" s="1729"/>
      <c r="BI623" s="1733">
        <f t="shared" si="9"/>
        <v>0</v>
      </c>
      <c r="BJ623" s="1735"/>
      <c r="BK623" s="1727">
        <f t="shared" si="7"/>
        <v>0</v>
      </c>
      <c r="BL623" s="1729"/>
      <c r="BN623" s="1727">
        <f t="shared" si="0"/>
        <v>0</v>
      </c>
      <c r="BO623" s="1728"/>
      <c r="BP623" s="1728"/>
      <c r="BQ623" s="1728"/>
      <c r="BR623" s="1736"/>
      <c r="BS623" s="1727">
        <f t="shared" si="1"/>
        <v>0</v>
      </c>
      <c r="BT623" s="1728"/>
      <c r="BU623" s="1728"/>
      <c r="BV623" s="1728"/>
      <c r="BW623" s="1729"/>
      <c r="BX623" s="1727">
        <f t="shared" si="2"/>
        <v>0</v>
      </c>
      <c r="BY623" s="1728"/>
      <c r="BZ623" s="1728"/>
      <c r="CA623" s="1728"/>
      <c r="CB623" s="1729"/>
      <c r="CC623" s="1727">
        <f t="shared" si="3"/>
        <v>0</v>
      </c>
      <c r="CD623" s="1728"/>
      <c r="CE623" s="1728"/>
      <c r="CF623" s="1728"/>
      <c r="CG623" s="1729"/>
      <c r="CH623" s="1727">
        <f t="shared" si="4"/>
        <v>0</v>
      </c>
      <c r="CI623" s="1728"/>
      <c r="CJ623" s="1728"/>
      <c r="CK623" s="1728"/>
      <c r="CL623" s="1729"/>
      <c r="CM623" s="1727">
        <f t="shared" si="5"/>
        <v>0</v>
      </c>
      <c r="CN623" s="1728"/>
      <c r="CO623" s="1728"/>
      <c r="CP623" s="1728"/>
      <c r="CQ623" s="1729"/>
      <c r="CS623" s="1739">
        <f t="shared" si="10"/>
        <v>0</v>
      </c>
      <c r="CT623" s="1740"/>
      <c r="CU623" s="1740"/>
      <c r="CV623" s="1740"/>
      <c r="CW623" s="1741"/>
      <c r="CX623" s="1739">
        <f t="shared" si="11"/>
        <v>0</v>
      </c>
      <c r="CY623" s="1740"/>
      <c r="CZ623" s="1740"/>
      <c r="DA623" s="1740"/>
      <c r="DB623" s="1741"/>
      <c r="DC623" s="1739">
        <f t="shared" si="12"/>
        <v>0</v>
      </c>
      <c r="DD623" s="1740"/>
      <c r="DE623" s="1740"/>
      <c r="DF623" s="1740"/>
      <c r="DG623" s="1741"/>
      <c r="DH623" s="1739">
        <f t="shared" si="13"/>
        <v>0</v>
      </c>
      <c r="DI623" s="1740"/>
      <c r="DJ623" s="1740"/>
      <c r="DK623" s="1740"/>
      <c r="DL623" s="1741"/>
      <c r="DM623" s="1739">
        <f t="shared" si="14"/>
        <v>0</v>
      </c>
      <c r="DN623" s="1740"/>
      <c r="DO623" s="1740"/>
      <c r="DP623" s="1740"/>
      <c r="DQ623" s="1741"/>
      <c r="DR623" s="1739">
        <f t="shared" si="15"/>
        <v>0</v>
      </c>
      <c r="DS623" s="1740"/>
      <c r="DT623" s="1740"/>
      <c r="DU623" s="1740"/>
      <c r="DV623" s="1741"/>
    </row>
    <row r="624" spans="1:126" ht="13.2">
      <c r="A624" s="63"/>
      <c r="B624" s="63"/>
      <c r="C624" s="63"/>
      <c r="AM624" s="50"/>
      <c r="AN624" s="50"/>
      <c r="AO624" s="50"/>
      <c r="AP624" s="50"/>
      <c r="AQ624" s="50"/>
      <c r="AR624" s="50"/>
      <c r="AS624" s="50"/>
      <c r="AZ624" s="72"/>
      <c r="BA624" s="72"/>
      <c r="BB624" s="72"/>
      <c r="BC624" s="72"/>
      <c r="BD624" s="72"/>
      <c r="BE624" s="1733">
        <f t="shared" si="8"/>
        <v>0</v>
      </c>
      <c r="BF624" s="1735"/>
      <c r="BG624" s="1727">
        <f t="shared" si="6"/>
        <v>0</v>
      </c>
      <c r="BH624" s="1729"/>
      <c r="BI624" s="1733">
        <f t="shared" si="9"/>
        <v>0</v>
      </c>
      <c r="BJ624" s="1735"/>
      <c r="BK624" s="1727">
        <f t="shared" si="7"/>
        <v>0</v>
      </c>
      <c r="BL624" s="1729"/>
      <c r="BN624" s="1727">
        <f t="shared" si="0"/>
        <v>0</v>
      </c>
      <c r="BO624" s="1728"/>
      <c r="BP624" s="1728"/>
      <c r="BQ624" s="1728"/>
      <c r="BR624" s="1736"/>
      <c r="BS624" s="1727">
        <f t="shared" si="1"/>
        <v>0</v>
      </c>
      <c r="BT624" s="1728"/>
      <c r="BU624" s="1728"/>
      <c r="BV624" s="1728"/>
      <c r="BW624" s="1729"/>
      <c r="BX624" s="1727">
        <f t="shared" si="2"/>
        <v>0</v>
      </c>
      <c r="BY624" s="1728"/>
      <c r="BZ624" s="1728"/>
      <c r="CA624" s="1728"/>
      <c r="CB624" s="1729"/>
      <c r="CC624" s="1727">
        <f t="shared" si="3"/>
        <v>0</v>
      </c>
      <c r="CD624" s="1728"/>
      <c r="CE624" s="1728"/>
      <c r="CF624" s="1728"/>
      <c r="CG624" s="1729"/>
      <c r="CH624" s="1727">
        <f t="shared" si="4"/>
        <v>0</v>
      </c>
      <c r="CI624" s="1728"/>
      <c r="CJ624" s="1728"/>
      <c r="CK624" s="1728"/>
      <c r="CL624" s="1729"/>
      <c r="CM624" s="1727">
        <f t="shared" si="5"/>
        <v>0</v>
      </c>
      <c r="CN624" s="1728"/>
      <c r="CO624" s="1728"/>
      <c r="CP624" s="1728"/>
      <c r="CQ624" s="1729"/>
      <c r="CS624" s="1739">
        <f t="shared" si="10"/>
        <v>0</v>
      </c>
      <c r="CT624" s="1740"/>
      <c r="CU624" s="1740"/>
      <c r="CV624" s="1740"/>
      <c r="CW624" s="1741"/>
      <c r="CX624" s="1739">
        <f t="shared" si="11"/>
        <v>0</v>
      </c>
      <c r="CY624" s="1740"/>
      <c r="CZ624" s="1740"/>
      <c r="DA624" s="1740"/>
      <c r="DB624" s="1741"/>
      <c r="DC624" s="1739">
        <f t="shared" si="12"/>
        <v>0</v>
      </c>
      <c r="DD624" s="1740"/>
      <c r="DE624" s="1740"/>
      <c r="DF624" s="1740"/>
      <c r="DG624" s="1741"/>
      <c r="DH624" s="1739">
        <f t="shared" si="13"/>
        <v>0</v>
      </c>
      <c r="DI624" s="1740"/>
      <c r="DJ624" s="1740"/>
      <c r="DK624" s="1740"/>
      <c r="DL624" s="1741"/>
      <c r="DM624" s="1739">
        <f t="shared" si="14"/>
        <v>0</v>
      </c>
      <c r="DN624" s="1740"/>
      <c r="DO624" s="1740"/>
      <c r="DP624" s="1740"/>
      <c r="DQ624" s="1741"/>
      <c r="DR624" s="1739">
        <f t="shared" si="15"/>
        <v>0</v>
      </c>
      <c r="DS624" s="1740"/>
      <c r="DT624" s="1740"/>
      <c r="DU624" s="1740"/>
      <c r="DV624" s="1741"/>
    </row>
    <row r="625" spans="1:126" ht="13.2">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33">
        <f t="shared" si="8"/>
        <v>0</v>
      </c>
      <c r="BF625" s="1735"/>
      <c r="BG625" s="1727">
        <f t="shared" si="6"/>
        <v>0</v>
      </c>
      <c r="BH625" s="1729"/>
      <c r="BI625" s="1733">
        <f t="shared" si="9"/>
        <v>0</v>
      </c>
      <c r="BJ625" s="1735"/>
      <c r="BK625" s="1727">
        <f t="shared" si="7"/>
        <v>0</v>
      </c>
      <c r="BL625" s="1729"/>
      <c r="BN625" s="1733">
        <f>SUM(BN600:BR624)</f>
        <v>0</v>
      </c>
      <c r="BO625" s="1734"/>
      <c r="BP625" s="1734"/>
      <c r="BQ625" s="1734"/>
      <c r="BR625" s="1735"/>
      <c r="BS625" s="1733">
        <f>SUM(BS600:BW624)</f>
        <v>27</v>
      </c>
      <c r="BT625" s="1734"/>
      <c r="BU625" s="1734"/>
      <c r="BV625" s="1734"/>
      <c r="BW625" s="1735"/>
      <c r="BX625" s="1733">
        <f>SUM(BX600:CB624)</f>
        <v>16</v>
      </c>
      <c r="BY625" s="1734"/>
      <c r="BZ625" s="1734"/>
      <c r="CA625" s="1734"/>
      <c r="CB625" s="1735"/>
      <c r="CC625" s="1733">
        <f>SUM(CC600:CG624)</f>
        <v>19</v>
      </c>
      <c r="CD625" s="1734"/>
      <c r="CE625" s="1734"/>
      <c r="CF625" s="1734"/>
      <c r="CG625" s="1735"/>
      <c r="CH625" s="1733">
        <f>SUM(CH600:CL624)</f>
        <v>0</v>
      </c>
      <c r="CI625" s="1734"/>
      <c r="CJ625" s="1734"/>
      <c r="CK625" s="1734"/>
      <c r="CL625" s="1735"/>
      <c r="CM625" s="1733">
        <f>SUM(CM600:CQ624)</f>
        <v>0</v>
      </c>
      <c r="CN625" s="1734"/>
      <c r="CO625" s="1734"/>
      <c r="CP625" s="1734"/>
      <c r="CQ625" s="1735"/>
      <c r="CS625" s="1739">
        <f t="shared" si="10"/>
        <v>0</v>
      </c>
      <c r="CT625" s="1740"/>
      <c r="CU625" s="1740"/>
      <c r="CV625" s="1740"/>
      <c r="CW625" s="1741"/>
      <c r="CX625" s="1739">
        <f t="shared" si="11"/>
        <v>0</v>
      </c>
      <c r="CY625" s="1740"/>
      <c r="CZ625" s="1740"/>
      <c r="DA625" s="1740"/>
      <c r="DB625" s="1741"/>
      <c r="DC625" s="1739">
        <f t="shared" si="12"/>
        <v>0</v>
      </c>
      <c r="DD625" s="1740"/>
      <c r="DE625" s="1740"/>
      <c r="DF625" s="1740"/>
      <c r="DG625" s="1741"/>
      <c r="DH625" s="1739">
        <f t="shared" si="13"/>
        <v>0</v>
      </c>
      <c r="DI625" s="1740"/>
      <c r="DJ625" s="1740"/>
      <c r="DK625" s="1740"/>
      <c r="DL625" s="1741"/>
      <c r="DM625" s="1739">
        <f t="shared" si="14"/>
        <v>0</v>
      </c>
      <c r="DN625" s="1740"/>
      <c r="DO625" s="1740"/>
      <c r="DP625" s="1740"/>
      <c r="DQ625" s="1741"/>
      <c r="DR625" s="1739">
        <f t="shared" si="15"/>
        <v>0</v>
      </c>
      <c r="DS625" s="1740"/>
      <c r="DT625" s="1740"/>
      <c r="DU625" s="1740"/>
      <c r="DV625" s="1741"/>
    </row>
    <row r="626" spans="1:126" ht="13.8" thickBot="1">
      <c r="B626" s="1437"/>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33">
        <f>SUM(BG601:BH625)</f>
        <v>12</v>
      </c>
      <c r="BH626" s="1735"/>
      <c r="BI626" s="72"/>
      <c r="BJ626" s="72"/>
      <c r="BK626" s="1733">
        <f>SUM(BK601:BL625)</f>
        <v>19</v>
      </c>
      <c r="BL626" s="1735"/>
      <c r="BN626" s="72" t="s">
        <v>1945</v>
      </c>
      <c r="BO626" s="72"/>
      <c r="BP626" s="72"/>
      <c r="BQ626" s="72"/>
      <c r="BR626" s="737">
        <f>BN625*1</f>
        <v>0</v>
      </c>
      <c r="BS626" s="72"/>
      <c r="BT626" s="72"/>
      <c r="BU626" s="72"/>
      <c r="BV626" s="72"/>
      <c r="BW626" s="737">
        <f>BS625*1</f>
        <v>27</v>
      </c>
      <c r="BX626" s="72"/>
      <c r="BY626" s="72"/>
      <c r="BZ626" s="72"/>
      <c r="CA626" s="72"/>
      <c r="CB626" s="737">
        <f>BX625*2</f>
        <v>32</v>
      </c>
      <c r="CC626" s="72"/>
      <c r="CD626" s="72"/>
      <c r="CE626" s="72"/>
      <c r="CF626" s="72"/>
      <c r="CG626" s="737">
        <f>CC625*3</f>
        <v>57</v>
      </c>
      <c r="CH626" s="72"/>
      <c r="CI626" s="72"/>
      <c r="CJ626" s="72"/>
      <c r="CK626" s="72"/>
      <c r="CL626" s="737">
        <f>CH625*4</f>
        <v>0</v>
      </c>
      <c r="CM626" s="72"/>
      <c r="CN626" s="72"/>
      <c r="CO626" s="72"/>
      <c r="CP626" s="72"/>
      <c r="CQ626" s="736">
        <f>CM625*5</f>
        <v>0</v>
      </c>
      <c r="CS626" s="1733">
        <f>SUM(CS601:CW625)</f>
        <v>0</v>
      </c>
      <c r="CT626" s="1734"/>
      <c r="CU626" s="1734"/>
      <c r="CV626" s="1734"/>
      <c r="CW626" s="1735"/>
      <c r="CX626" s="1733">
        <f>SUM(CX601:DB625)</f>
        <v>13</v>
      </c>
      <c r="CY626" s="1734"/>
      <c r="CZ626" s="1734"/>
      <c r="DA626" s="1734"/>
      <c r="DB626" s="1735"/>
      <c r="DC626" s="1733">
        <f>SUM(DC601:DG625)</f>
        <v>3</v>
      </c>
      <c r="DD626" s="1734"/>
      <c r="DE626" s="1734"/>
      <c r="DF626" s="1734"/>
      <c r="DG626" s="1735"/>
      <c r="DH626" s="1733">
        <f>SUM(DH601:DL625)</f>
        <v>3</v>
      </c>
      <c r="DI626" s="1734"/>
      <c r="DJ626" s="1734"/>
      <c r="DK626" s="1734"/>
      <c r="DL626" s="1735"/>
      <c r="DM626" s="1733">
        <f>SUM(DM601:DQ625)</f>
        <v>0</v>
      </c>
      <c r="DN626" s="1734"/>
      <c r="DO626" s="1734"/>
      <c r="DP626" s="1734"/>
      <c r="DQ626" s="1735"/>
      <c r="DR626" s="1733">
        <f>SUM(DR601:DV625)</f>
        <v>0</v>
      </c>
      <c r="DS626" s="1734"/>
      <c r="DT626" s="1734"/>
      <c r="DU626" s="1734"/>
      <c r="DV626" s="1735"/>
    </row>
    <row r="627" spans="1:126" ht="13.5" customHeight="1" thickBot="1">
      <c r="A627" s="1388"/>
      <c r="B627" s="1903" t="s">
        <v>807</v>
      </c>
      <c r="C627" s="1904"/>
      <c r="D627" s="1904"/>
      <c r="E627" s="1904"/>
      <c r="F627" s="1904"/>
      <c r="G627" s="1904"/>
      <c r="H627" s="1904"/>
      <c r="I627" s="1904"/>
      <c r="J627" s="1904"/>
      <c r="K627" s="1904"/>
      <c r="L627" s="1904"/>
      <c r="M627" s="1904"/>
      <c r="N627" s="1905"/>
      <c r="O627" s="1907" t="s">
        <v>489</v>
      </c>
      <c r="P627" s="1836"/>
      <c r="Q627" s="1837"/>
      <c r="R627" s="1907" t="s">
        <v>2290</v>
      </c>
      <c r="S627" s="1836"/>
      <c r="T627" s="1837"/>
      <c r="U627" s="1924" t="s">
        <v>808</v>
      </c>
      <c r="V627" s="1924"/>
      <c r="W627" s="1925"/>
      <c r="X627" s="1907" t="s">
        <v>2291</v>
      </c>
      <c r="Y627" s="1836"/>
      <c r="Z627" s="1836"/>
      <c r="AA627" s="1836"/>
      <c r="AB627" s="1837"/>
      <c r="AC627" s="1930" t="s">
        <v>2292</v>
      </c>
      <c r="AD627" s="1931"/>
      <c r="AE627" s="1932"/>
      <c r="AF627" s="1907" t="s">
        <v>2293</v>
      </c>
      <c r="AG627" s="1836"/>
      <c r="AH627" s="1836"/>
      <c r="AI627" s="1836"/>
      <c r="AJ627" s="1837"/>
      <c r="AK627" s="1939" t="s">
        <v>2294</v>
      </c>
      <c r="AL627" s="1940"/>
      <c r="AM627" s="1940"/>
      <c r="AN627" s="1941"/>
      <c r="AO627" s="1726" t="s">
        <v>809</v>
      </c>
      <c r="AP627" s="1726"/>
      <c r="AQ627" s="1726"/>
      <c r="AR627" s="1726"/>
      <c r="AS627" s="1726"/>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6" t="s">
        <v>1946</v>
      </c>
      <c r="CQ627" s="738">
        <f>BR626+BW626+CB626+CG626+CL626+CQ626</f>
        <v>116</v>
      </c>
      <c r="CR627" s="72"/>
      <c r="CS627" s="72"/>
    </row>
    <row r="628" spans="1:126" ht="13.2">
      <c r="A628" s="1388"/>
      <c r="B628" s="1920"/>
      <c r="C628" s="1921"/>
      <c r="D628" s="1921"/>
      <c r="E628" s="1921"/>
      <c r="F628" s="1921"/>
      <c r="G628" s="1921"/>
      <c r="H628" s="1921"/>
      <c r="I628" s="1921"/>
      <c r="J628" s="1921"/>
      <c r="K628" s="1921"/>
      <c r="L628" s="1921"/>
      <c r="M628" s="1921"/>
      <c r="N628" s="1922"/>
      <c r="O628" s="1908"/>
      <c r="P628" s="1909"/>
      <c r="Q628" s="1910"/>
      <c r="R628" s="1908"/>
      <c r="S628" s="1909"/>
      <c r="T628" s="1910"/>
      <c r="U628" s="1926"/>
      <c r="V628" s="1926"/>
      <c r="W628" s="1927"/>
      <c r="X628" s="1908"/>
      <c r="Y628" s="1909"/>
      <c r="Z628" s="1909"/>
      <c r="AA628" s="1909"/>
      <c r="AB628" s="1910"/>
      <c r="AC628" s="1933"/>
      <c r="AD628" s="1934"/>
      <c r="AE628" s="1935"/>
      <c r="AF628" s="1908"/>
      <c r="AG628" s="1909"/>
      <c r="AH628" s="1909"/>
      <c r="AI628" s="1909"/>
      <c r="AJ628" s="1910"/>
      <c r="AK628" s="1942"/>
      <c r="AL628" s="1943"/>
      <c r="AM628" s="1943"/>
      <c r="AN628" s="1944"/>
      <c r="AO628" s="1726"/>
      <c r="AP628" s="1726"/>
      <c r="AQ628" s="1726"/>
      <c r="AR628" s="1726"/>
      <c r="AS628" s="1726"/>
      <c r="AT628" s="72"/>
      <c r="AU628" s="72"/>
      <c r="AV628" s="72"/>
      <c r="AW628" s="72"/>
      <c r="AX628" s="72"/>
      <c r="AY628" s="72"/>
      <c r="AZ628" s="72"/>
      <c r="BN628" s="1727">
        <f>IF(J750="SRO/Studio",O750,0)</f>
        <v>0</v>
      </c>
      <c r="BO628" s="1728"/>
      <c r="BP628" s="1728"/>
      <c r="BQ628" s="1728"/>
      <c r="BR628" s="1729"/>
      <c r="BS628" s="1727">
        <f>IF(J750="1 Bedroom",O750,0)</f>
        <v>0</v>
      </c>
      <c r="BT628" s="1728"/>
      <c r="BU628" s="1728"/>
      <c r="BV628" s="1728"/>
      <c r="BW628" s="1729"/>
      <c r="BX628" s="1727">
        <f>IF(J750="2 Bedrooms",O750,0)</f>
        <v>0</v>
      </c>
      <c r="BY628" s="1728"/>
      <c r="BZ628" s="1728"/>
      <c r="CA628" s="1728"/>
      <c r="CB628" s="1729"/>
      <c r="CC628" s="1727">
        <f>IF(J750="3 Bedrooms",O750,0)</f>
        <v>1</v>
      </c>
      <c r="CD628" s="1728"/>
      <c r="CE628" s="1728"/>
      <c r="CF628" s="1728"/>
      <c r="CG628" s="1729"/>
      <c r="CH628" s="1727">
        <f>IF(J750="4 Bedrooms",O750,0)</f>
        <v>0</v>
      </c>
      <c r="CI628" s="1728"/>
      <c r="CJ628" s="1728"/>
      <c r="CK628" s="1728"/>
      <c r="CL628" s="1729"/>
      <c r="CM628" s="1737">
        <f>IF(J750="5 Bedrooms",O750,0)</f>
        <v>0</v>
      </c>
      <c r="CN628" s="1738"/>
      <c r="CO628" s="1738"/>
      <c r="CP628" s="1738"/>
      <c r="CQ628" s="1736"/>
      <c r="CR628" s="72"/>
      <c r="CS628" s="72"/>
    </row>
    <row r="629" spans="1:126" ht="12.75" customHeight="1">
      <c r="A629" s="1388"/>
      <c r="B629" s="1923"/>
      <c r="C629" s="1921"/>
      <c r="D629" s="1921"/>
      <c r="E629" s="1921"/>
      <c r="F629" s="1921"/>
      <c r="G629" s="1921"/>
      <c r="H629" s="1921"/>
      <c r="I629" s="1921"/>
      <c r="J629" s="1921"/>
      <c r="K629" s="1921"/>
      <c r="L629" s="1921"/>
      <c r="M629" s="1921"/>
      <c r="N629" s="1922"/>
      <c r="O629" s="1911"/>
      <c r="P629" s="1912"/>
      <c r="Q629" s="1913"/>
      <c r="R629" s="1911"/>
      <c r="S629" s="1912"/>
      <c r="T629" s="1913"/>
      <c r="U629" s="1928"/>
      <c r="V629" s="1928"/>
      <c r="W629" s="1929"/>
      <c r="X629" s="1911"/>
      <c r="Y629" s="1912"/>
      <c r="Z629" s="1912"/>
      <c r="AA629" s="1912"/>
      <c r="AB629" s="1913"/>
      <c r="AC629" s="1936"/>
      <c r="AD629" s="1937"/>
      <c r="AE629" s="1938"/>
      <c r="AF629" s="1911"/>
      <c r="AG629" s="1912"/>
      <c r="AH629" s="1912"/>
      <c r="AI629" s="1912"/>
      <c r="AJ629" s="1913"/>
      <c r="AK629" s="1945"/>
      <c r="AL629" s="1946"/>
      <c r="AM629" s="1946"/>
      <c r="AN629" s="1947"/>
      <c r="AO629" s="1726"/>
      <c r="AP629" s="1726"/>
      <c r="AQ629" s="1726"/>
      <c r="AR629" s="1726"/>
      <c r="AS629" s="1726"/>
      <c r="AT629" s="75"/>
      <c r="AU629" s="75"/>
      <c r="AV629" s="75"/>
      <c r="AW629" s="75"/>
      <c r="AX629" s="75"/>
      <c r="AY629" s="75"/>
      <c r="AZ629" s="75"/>
      <c r="BN629" s="1727">
        <f>IF(J751="SRO/Studio",O751,0)</f>
        <v>0</v>
      </c>
      <c r="BO629" s="1728"/>
      <c r="BP629" s="1728"/>
      <c r="BQ629" s="1728"/>
      <c r="BR629" s="1729"/>
      <c r="BS629" s="1727">
        <f>IF(J751="1 Bedroom",O751,0)</f>
        <v>0</v>
      </c>
      <c r="BT629" s="1728"/>
      <c r="BU629" s="1728"/>
      <c r="BV629" s="1728"/>
      <c r="BW629" s="1729"/>
      <c r="BX629" s="1727">
        <f>IF(J751="2 Bedrooms",O751,0)</f>
        <v>0</v>
      </c>
      <c r="BY629" s="1728"/>
      <c r="BZ629" s="1728"/>
      <c r="CA629" s="1728"/>
      <c r="CB629" s="1729"/>
      <c r="CC629" s="1727">
        <f>IF(J751="3 Bedrooms",O751,0)</f>
        <v>0</v>
      </c>
      <c r="CD629" s="1728"/>
      <c r="CE629" s="1728"/>
      <c r="CF629" s="1728"/>
      <c r="CG629" s="1729"/>
      <c r="CH629" s="1727">
        <f>IF(J751="4 Bedrooms",O751,0)</f>
        <v>0</v>
      </c>
      <c r="CI629" s="1728"/>
      <c r="CJ629" s="1728"/>
      <c r="CK629" s="1728"/>
      <c r="CL629" s="1729"/>
      <c r="CM629" s="1737">
        <f>IF(J751="5 Bedrooms",O751,0)</f>
        <v>0</v>
      </c>
      <c r="CN629" s="1738"/>
      <c r="CO629" s="1738"/>
      <c r="CP629" s="1738"/>
      <c r="CQ629" s="1736"/>
      <c r="CR629" s="72"/>
      <c r="CS629" s="72"/>
    </row>
    <row r="630" spans="1:126" ht="12.75" customHeight="1">
      <c r="B630" s="97" t="s">
        <v>1004</v>
      </c>
      <c r="C630" s="1706" t="s">
        <v>2452</v>
      </c>
      <c r="D630" s="1706"/>
      <c r="E630" s="1706"/>
      <c r="F630" s="1706"/>
      <c r="G630" s="1706"/>
      <c r="H630" s="1706"/>
      <c r="I630" s="1706"/>
      <c r="J630" s="1706"/>
      <c r="K630" s="1706"/>
      <c r="L630" s="1706"/>
      <c r="M630" s="1706"/>
      <c r="N630" s="1707"/>
      <c r="O630" s="1708"/>
      <c r="P630" s="1709"/>
      <c r="Q630" s="1710"/>
      <c r="R630" s="1711">
        <f>30*12</f>
        <v>360</v>
      </c>
      <c r="S630" s="1712"/>
      <c r="T630" s="1713"/>
      <c r="U630" s="1714">
        <v>4.7500000000000001E-2</v>
      </c>
      <c r="V630" s="1715"/>
      <c r="W630" s="1716"/>
      <c r="X630" s="1717" t="s">
        <v>2296</v>
      </c>
      <c r="Y630" s="1718"/>
      <c r="Z630" s="1718"/>
      <c r="AA630" s="1718"/>
      <c r="AB630" s="1719"/>
      <c r="AC630" s="1720">
        <v>1</v>
      </c>
      <c r="AD630" s="1721"/>
      <c r="AE630" s="1722"/>
      <c r="AF630" s="1654">
        <f>-PMT(U630/12,R630,AO630)*12</f>
        <v>526285.36556964042</v>
      </c>
      <c r="AG630" s="1655"/>
      <c r="AH630" s="1655"/>
      <c r="AI630" s="1655"/>
      <c r="AJ630" s="1656"/>
      <c r="AK630" s="1723"/>
      <c r="AL630" s="1724"/>
      <c r="AM630" s="1724"/>
      <c r="AN630" s="1725"/>
      <c r="AO630" s="1645">
        <v>8407426</v>
      </c>
      <c r="AP630" s="1645"/>
      <c r="AQ630" s="1645"/>
      <c r="AR630" s="1645"/>
      <c r="AS630" s="1645"/>
      <c r="AU630" s="75"/>
      <c r="AV630" s="75"/>
      <c r="AW630" s="75"/>
      <c r="AX630" s="75"/>
      <c r="AY630" s="75"/>
      <c r="BA630" s="72" t="s">
        <v>2276</v>
      </c>
      <c r="BC630" s="75"/>
      <c r="BD630" s="75"/>
      <c r="BN630" s="1727">
        <f>IF(J752="SRO/Studio",O752,0)</f>
        <v>0</v>
      </c>
      <c r="BO630" s="1728"/>
      <c r="BP630" s="1728"/>
      <c r="BQ630" s="1728"/>
      <c r="BR630" s="1729"/>
      <c r="BS630" s="1727">
        <f>IF(J752="1 Bedroom",O752,0)</f>
        <v>0</v>
      </c>
      <c r="BT630" s="1728"/>
      <c r="BU630" s="1728"/>
      <c r="BV630" s="1728"/>
      <c r="BW630" s="1729"/>
      <c r="BX630" s="1727">
        <f>IF(J752="2 Bedrooms",O752,0)</f>
        <v>0</v>
      </c>
      <c r="BY630" s="1728"/>
      <c r="BZ630" s="1728"/>
      <c r="CA630" s="1728"/>
      <c r="CB630" s="1729"/>
      <c r="CC630" s="1727">
        <f>IF(J752="3 Bedrooms",O752,0)</f>
        <v>0</v>
      </c>
      <c r="CD630" s="1728"/>
      <c r="CE630" s="1728"/>
      <c r="CF630" s="1728"/>
      <c r="CG630" s="1729"/>
      <c r="CH630" s="1727">
        <f>IF(J752="4 Bedrooms",O752,0)</f>
        <v>0</v>
      </c>
      <c r="CI630" s="1728"/>
      <c r="CJ630" s="1728"/>
      <c r="CK630" s="1728"/>
      <c r="CL630" s="1729"/>
      <c r="CM630" s="1737">
        <f>IF(J752="5 Bedrooms",O752,0)</f>
        <v>0</v>
      </c>
      <c r="CN630" s="1738"/>
      <c r="CO630" s="1738"/>
      <c r="CP630" s="1738"/>
      <c r="CQ630" s="1736"/>
      <c r="CR630" s="72"/>
      <c r="CS630" s="72"/>
    </row>
    <row r="631" spans="1:126" ht="13.2">
      <c r="B631" s="98" t="s">
        <v>1005</v>
      </c>
      <c r="C631" s="1706" t="s">
        <v>2453</v>
      </c>
      <c r="D631" s="1706"/>
      <c r="E631" s="1706"/>
      <c r="F631" s="1706"/>
      <c r="G631" s="1706"/>
      <c r="H631" s="1706"/>
      <c r="I631" s="1706"/>
      <c r="J631" s="1706"/>
      <c r="K631" s="1706"/>
      <c r="L631" s="1706"/>
      <c r="M631" s="1706"/>
      <c r="N631" s="1707"/>
      <c r="O631" s="1708">
        <f>55*12</f>
        <v>660</v>
      </c>
      <c r="P631" s="1709"/>
      <c r="Q631" s="1710"/>
      <c r="R631" s="1711"/>
      <c r="S631" s="1712"/>
      <c r="T631" s="1713"/>
      <c r="U631" s="1714">
        <v>0.03</v>
      </c>
      <c r="V631" s="1715"/>
      <c r="W631" s="1716"/>
      <c r="X631" s="1717" t="s">
        <v>864</v>
      </c>
      <c r="Y631" s="1718"/>
      <c r="Z631" s="1718"/>
      <c r="AA631" s="1718"/>
      <c r="AB631" s="1719"/>
      <c r="AC631" s="1720">
        <v>2</v>
      </c>
      <c r="AD631" s="1721"/>
      <c r="AE631" s="1722"/>
      <c r="AF631" s="1654"/>
      <c r="AG631" s="1655"/>
      <c r="AH631" s="1655"/>
      <c r="AI631" s="1655"/>
      <c r="AJ631" s="1656"/>
      <c r="AK631" s="1723"/>
      <c r="AL631" s="1724"/>
      <c r="AM631" s="1724"/>
      <c r="AN631" s="1725"/>
      <c r="AO631" s="1645">
        <v>3280000</v>
      </c>
      <c r="AP631" s="1645"/>
      <c r="AQ631" s="1645"/>
      <c r="AR631" s="1645"/>
      <c r="AS631" s="1645"/>
      <c r="AU631" s="75"/>
      <c r="AV631" s="75"/>
      <c r="AW631" s="75"/>
      <c r="AX631" s="75"/>
      <c r="AY631" s="75"/>
      <c r="BA631" s="72" t="s">
        <v>865</v>
      </c>
      <c r="BC631" s="75"/>
      <c r="BD631" s="75"/>
      <c r="BN631" s="1727">
        <f>IF(J753="SRO/Studio",O753,0)</f>
        <v>0</v>
      </c>
      <c r="BO631" s="1728"/>
      <c r="BP631" s="1728"/>
      <c r="BQ631" s="1728"/>
      <c r="BR631" s="1729"/>
      <c r="BS631" s="1727">
        <f>IF(J753="1 Bedroom",O753,0)</f>
        <v>0</v>
      </c>
      <c r="BT631" s="1728"/>
      <c r="BU631" s="1728"/>
      <c r="BV631" s="1728"/>
      <c r="BW631" s="1729"/>
      <c r="BX631" s="1727">
        <f>IF(J753="2 Bedrooms",O753,0)</f>
        <v>0</v>
      </c>
      <c r="BY631" s="1728"/>
      <c r="BZ631" s="1728"/>
      <c r="CA631" s="1728"/>
      <c r="CB631" s="1729"/>
      <c r="CC631" s="1727">
        <f>IF(J753="3 Bedrooms",O753,0)</f>
        <v>0</v>
      </c>
      <c r="CD631" s="1728"/>
      <c r="CE631" s="1728"/>
      <c r="CF631" s="1728"/>
      <c r="CG631" s="1729"/>
      <c r="CH631" s="1727">
        <f>IF(J753="4 Bedrooms",O753,0)</f>
        <v>0</v>
      </c>
      <c r="CI631" s="1728"/>
      <c r="CJ631" s="1728"/>
      <c r="CK631" s="1728"/>
      <c r="CL631" s="1729"/>
      <c r="CM631" s="1737">
        <f>IF(J753="5 Bedrooms",O753,0)</f>
        <v>0</v>
      </c>
      <c r="CN631" s="1738"/>
      <c r="CO631" s="1738"/>
      <c r="CP631" s="1738"/>
      <c r="CQ631" s="1736"/>
      <c r="CR631" s="72"/>
      <c r="CS631" s="72"/>
    </row>
    <row r="632" spans="1:126" ht="13.2">
      <c r="B632" s="98" t="s">
        <v>1011</v>
      </c>
      <c r="C632" s="1706" t="s">
        <v>2451</v>
      </c>
      <c r="D632" s="1706"/>
      <c r="E632" s="1706"/>
      <c r="F632" s="1706"/>
      <c r="G632" s="1706"/>
      <c r="H632" s="1706"/>
      <c r="I632" s="1706"/>
      <c r="J632" s="1706"/>
      <c r="K632" s="1706"/>
      <c r="L632" s="1706"/>
      <c r="M632" s="1706"/>
      <c r="N632" s="1707"/>
      <c r="O632" s="1708">
        <f>55*12</f>
        <v>660</v>
      </c>
      <c r="P632" s="1709"/>
      <c r="Q632" s="1710"/>
      <c r="R632" s="1711"/>
      <c r="S632" s="1712"/>
      <c r="T632" s="1713"/>
      <c r="U632" s="1714">
        <v>0.03</v>
      </c>
      <c r="V632" s="1715"/>
      <c r="W632" s="1716"/>
      <c r="X632" s="1717" t="s">
        <v>864</v>
      </c>
      <c r="Y632" s="1718"/>
      <c r="Z632" s="1718"/>
      <c r="AA632" s="1718"/>
      <c r="AB632" s="1719"/>
      <c r="AC632" s="1720">
        <v>3</v>
      </c>
      <c r="AD632" s="1721"/>
      <c r="AE632" s="1722"/>
      <c r="AF632" s="1654"/>
      <c r="AG632" s="1655"/>
      <c r="AH632" s="1655"/>
      <c r="AI632" s="1655"/>
      <c r="AJ632" s="1656"/>
      <c r="AK632" s="1723"/>
      <c r="AL632" s="1724"/>
      <c r="AM632" s="1724"/>
      <c r="AN632" s="1725"/>
      <c r="AO632" s="1645">
        <v>265000</v>
      </c>
      <c r="AP632" s="1645"/>
      <c r="AQ632" s="1645"/>
      <c r="AR632" s="1645"/>
      <c r="AS632" s="1645"/>
      <c r="AU632" s="75"/>
      <c r="AV632" s="75"/>
      <c r="AW632" s="75"/>
      <c r="AX632" s="75"/>
      <c r="AY632" s="75"/>
      <c r="AZ632" s="75"/>
      <c r="BA632" s="72" t="s">
        <v>864</v>
      </c>
      <c r="BB632" s="75"/>
      <c r="BC632" s="75"/>
      <c r="BD632" s="75"/>
      <c r="BN632" s="1730">
        <f>SUM(BN628:BR631)</f>
        <v>0</v>
      </c>
      <c r="BO632" s="1731"/>
      <c r="BP632" s="1731"/>
      <c r="BQ632" s="1731"/>
      <c r="BR632" s="1732"/>
      <c r="BS632" s="1730">
        <f>SUM(BS628:BW631)</f>
        <v>0</v>
      </c>
      <c r="BT632" s="1731"/>
      <c r="BU632" s="1731"/>
      <c r="BV632" s="1731"/>
      <c r="BW632" s="1732"/>
      <c r="BX632" s="1730">
        <f>SUM(BX628:CB631)</f>
        <v>0</v>
      </c>
      <c r="BY632" s="1731"/>
      <c r="BZ632" s="1731"/>
      <c r="CA632" s="1731"/>
      <c r="CB632" s="1732"/>
      <c r="CC632" s="1730">
        <f>SUM(CC628:CG631)</f>
        <v>1</v>
      </c>
      <c r="CD632" s="1731"/>
      <c r="CE632" s="1731"/>
      <c r="CF632" s="1731"/>
      <c r="CG632" s="1732"/>
      <c r="CH632" s="1730">
        <f>SUM(CH628:CL631)</f>
        <v>0</v>
      </c>
      <c r="CI632" s="1731"/>
      <c r="CJ632" s="1731"/>
      <c r="CK632" s="1731"/>
      <c r="CL632" s="1732"/>
      <c r="CM632" s="1730">
        <f>SUM(CM628:CQ631)</f>
        <v>0</v>
      </c>
      <c r="CN632" s="1731"/>
      <c r="CO632" s="1731"/>
      <c r="CP632" s="1731"/>
      <c r="CQ632" s="1732"/>
      <c r="CS632" s="737">
        <f>BN632+BS632+BX632+CC632+CH632+CM632</f>
        <v>1</v>
      </c>
      <c r="CT632" s="142" t="s">
        <v>2280</v>
      </c>
      <c r="CU632" s="72"/>
    </row>
    <row r="633" spans="1:126" ht="13.2">
      <c r="B633" s="98" t="s">
        <v>480</v>
      </c>
      <c r="C633" s="1706" t="s">
        <v>2404</v>
      </c>
      <c r="D633" s="1706"/>
      <c r="E633" s="1706"/>
      <c r="F633" s="1706"/>
      <c r="G633" s="1706"/>
      <c r="H633" s="1706"/>
      <c r="I633" s="1706"/>
      <c r="J633" s="1706"/>
      <c r="K633" s="1706"/>
      <c r="L633" s="1706"/>
      <c r="M633" s="1706"/>
      <c r="N633" s="1707"/>
      <c r="O633" s="1708"/>
      <c r="P633" s="1709"/>
      <c r="Q633" s="1710"/>
      <c r="R633" s="1711"/>
      <c r="S633" s="1712"/>
      <c r="T633" s="1713"/>
      <c r="U633" s="1714">
        <v>0.06</v>
      </c>
      <c r="V633" s="1715"/>
      <c r="W633" s="1716"/>
      <c r="X633" s="1717" t="s">
        <v>865</v>
      </c>
      <c r="Y633" s="1718"/>
      <c r="Z633" s="1718"/>
      <c r="AA633" s="1718"/>
      <c r="AB633" s="1719"/>
      <c r="AC633" s="1720"/>
      <c r="AD633" s="1721"/>
      <c r="AE633" s="1722"/>
      <c r="AF633" s="1654"/>
      <c r="AG633" s="1655"/>
      <c r="AH633" s="1655"/>
      <c r="AI633" s="1655"/>
      <c r="AJ633" s="1656"/>
      <c r="AK633" s="1723"/>
      <c r="AL633" s="1724"/>
      <c r="AM633" s="1724"/>
      <c r="AN633" s="1725"/>
      <c r="AO633" s="1645">
        <v>16485</v>
      </c>
      <c r="AP633" s="1645"/>
      <c r="AQ633" s="1645"/>
      <c r="AR633" s="1645"/>
      <c r="AS633" s="1645"/>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706" t="s">
        <v>2454</v>
      </c>
      <c r="D634" s="1706"/>
      <c r="E634" s="1706"/>
      <c r="F634" s="1706"/>
      <c r="G634" s="1706"/>
      <c r="H634" s="1706"/>
      <c r="I634" s="1706"/>
      <c r="J634" s="1706"/>
      <c r="K634" s="1706"/>
      <c r="L634" s="1706"/>
      <c r="M634" s="1706"/>
      <c r="N634" s="1707"/>
      <c r="O634" s="1708">
        <f>57*12</f>
        <v>684</v>
      </c>
      <c r="P634" s="1709"/>
      <c r="Q634" s="1710"/>
      <c r="R634" s="1711"/>
      <c r="S634" s="1712"/>
      <c r="T634" s="1713"/>
      <c r="U634" s="1714">
        <v>0.03</v>
      </c>
      <c r="V634" s="1715"/>
      <c r="W634" s="1716"/>
      <c r="X634" s="1717" t="s">
        <v>864</v>
      </c>
      <c r="Y634" s="1718"/>
      <c r="Z634" s="1718"/>
      <c r="AA634" s="1718"/>
      <c r="AB634" s="1719"/>
      <c r="AC634" s="1720">
        <v>4</v>
      </c>
      <c r="AD634" s="1721"/>
      <c r="AE634" s="1722"/>
      <c r="AF634" s="1654"/>
      <c r="AG634" s="1655"/>
      <c r="AH634" s="1655"/>
      <c r="AI634" s="1655"/>
      <c r="AJ634" s="1656"/>
      <c r="AK634" s="1723"/>
      <c r="AL634" s="1724"/>
      <c r="AM634" s="1724"/>
      <c r="AN634" s="1725"/>
      <c r="AO634" s="1645">
        <v>2000000</v>
      </c>
      <c r="AP634" s="1645"/>
      <c r="AQ634" s="1645"/>
      <c r="AR634" s="1645"/>
      <c r="AS634" s="1645"/>
      <c r="AT634" s="75"/>
      <c r="AU634" s="75"/>
      <c r="AV634" s="75"/>
      <c r="AW634" s="75"/>
      <c r="AX634" s="75"/>
      <c r="AY634" s="75"/>
      <c r="AZ634" s="75"/>
      <c r="BA634" s="72" t="s">
        <v>548</v>
      </c>
      <c r="BN634" s="1727">
        <f t="shared" ref="BN634:BN643" si="16">IF(J764="SRO/Studio",O764,0)</f>
        <v>0</v>
      </c>
      <c r="BO634" s="1728"/>
      <c r="BP634" s="1728"/>
      <c r="BQ634" s="1728"/>
      <c r="BR634" s="1729"/>
      <c r="BS634" s="1727">
        <f t="shared" ref="BS634:BS643" si="17">IF(J764="1 Bedroom",O764,0)</f>
        <v>0</v>
      </c>
      <c r="BT634" s="1728"/>
      <c r="BU634" s="1728"/>
      <c r="BV634" s="1728"/>
      <c r="BW634" s="1729"/>
      <c r="BX634" s="1727">
        <f t="shared" ref="BX634:BX643" si="18">IF(J764="2 Bedrooms",O764,0)</f>
        <v>0</v>
      </c>
      <c r="BY634" s="1728"/>
      <c r="BZ634" s="1728"/>
      <c r="CA634" s="1728"/>
      <c r="CB634" s="1729"/>
      <c r="CC634" s="1727">
        <f t="shared" ref="CC634:CC643" si="19">IF(J764="3 Bedrooms",O764,0)</f>
        <v>0</v>
      </c>
      <c r="CD634" s="1728"/>
      <c r="CE634" s="1728"/>
      <c r="CF634" s="1728"/>
      <c r="CG634" s="1729"/>
      <c r="CH634" s="1727">
        <f t="shared" ref="CH634:CH643" si="20">IF(J764="4 Bedrooms",O764,0)</f>
        <v>0</v>
      </c>
      <c r="CI634" s="1728"/>
      <c r="CJ634" s="1728"/>
      <c r="CK634" s="1728"/>
      <c r="CL634" s="1729"/>
      <c r="CM634" s="1727">
        <f t="shared" ref="CM634:CM643" si="21">IF(J764="5 Bedrooms",O764,0)</f>
        <v>0</v>
      </c>
      <c r="CN634" s="1728"/>
      <c r="CO634" s="1728"/>
      <c r="CP634" s="1728"/>
      <c r="CQ634" s="1729"/>
      <c r="CR634" s="72"/>
      <c r="CS634" s="72"/>
    </row>
    <row r="635" spans="1:126" ht="13.2">
      <c r="B635" s="98" t="s">
        <v>483</v>
      </c>
      <c r="C635" s="1706"/>
      <c r="D635" s="1706"/>
      <c r="E635" s="1706"/>
      <c r="F635" s="1706"/>
      <c r="G635" s="1706"/>
      <c r="H635" s="1706"/>
      <c r="I635" s="1706"/>
      <c r="J635" s="1706"/>
      <c r="K635" s="1706"/>
      <c r="L635" s="1706"/>
      <c r="M635" s="1706"/>
      <c r="N635" s="1707"/>
      <c r="O635" s="1708"/>
      <c r="P635" s="1709"/>
      <c r="Q635" s="1710"/>
      <c r="R635" s="1711"/>
      <c r="S635" s="1712"/>
      <c r="T635" s="1713"/>
      <c r="U635" s="1714"/>
      <c r="V635" s="1715"/>
      <c r="W635" s="1716"/>
      <c r="X635" s="1717" t="s">
        <v>2276</v>
      </c>
      <c r="Y635" s="1718"/>
      <c r="Z635" s="1718"/>
      <c r="AA635" s="1718"/>
      <c r="AB635" s="1719"/>
      <c r="AC635" s="1720"/>
      <c r="AD635" s="1721"/>
      <c r="AE635" s="1722"/>
      <c r="AF635" s="1654"/>
      <c r="AG635" s="1655"/>
      <c r="AH635" s="1655"/>
      <c r="AI635" s="1655"/>
      <c r="AJ635" s="1656"/>
      <c r="AK635" s="1723"/>
      <c r="AL635" s="1724"/>
      <c r="AM635" s="1724"/>
      <c r="AN635" s="1725"/>
      <c r="AO635" s="1645"/>
      <c r="AP635" s="1645"/>
      <c r="AQ635" s="1645"/>
      <c r="AR635" s="1645"/>
      <c r="AS635" s="1645"/>
      <c r="AT635" s="75"/>
      <c r="AU635" s="75"/>
      <c r="AV635" s="75"/>
      <c r="AW635" s="75"/>
      <c r="AX635" s="75"/>
      <c r="AY635" s="75"/>
      <c r="AZ635" s="75"/>
      <c r="BN635" s="1727">
        <f t="shared" si="16"/>
        <v>0</v>
      </c>
      <c r="BO635" s="1728"/>
      <c r="BP635" s="1728"/>
      <c r="BQ635" s="1728"/>
      <c r="BR635" s="1729"/>
      <c r="BS635" s="1727">
        <f t="shared" si="17"/>
        <v>0</v>
      </c>
      <c r="BT635" s="1728"/>
      <c r="BU635" s="1728"/>
      <c r="BV635" s="1728"/>
      <c r="BW635" s="1729"/>
      <c r="BX635" s="1727">
        <f t="shared" si="18"/>
        <v>0</v>
      </c>
      <c r="BY635" s="1728"/>
      <c r="BZ635" s="1728"/>
      <c r="CA635" s="1728"/>
      <c r="CB635" s="1729"/>
      <c r="CC635" s="1727">
        <f t="shared" si="19"/>
        <v>0</v>
      </c>
      <c r="CD635" s="1728"/>
      <c r="CE635" s="1728"/>
      <c r="CF635" s="1728"/>
      <c r="CG635" s="1729"/>
      <c r="CH635" s="1727">
        <f t="shared" si="20"/>
        <v>0</v>
      </c>
      <c r="CI635" s="1728"/>
      <c r="CJ635" s="1728"/>
      <c r="CK635" s="1728"/>
      <c r="CL635" s="1729"/>
      <c r="CM635" s="1727">
        <f t="shared" si="21"/>
        <v>0</v>
      </c>
      <c r="CN635" s="1728"/>
      <c r="CO635" s="1728"/>
      <c r="CP635" s="1728"/>
      <c r="CQ635" s="1729"/>
      <c r="CR635" s="72"/>
      <c r="CS635" s="72"/>
    </row>
    <row r="636" spans="1:126" ht="13.2">
      <c r="B636" s="98" t="s">
        <v>810</v>
      </c>
      <c r="C636" s="1706"/>
      <c r="D636" s="1706"/>
      <c r="E636" s="1706"/>
      <c r="F636" s="1706"/>
      <c r="G636" s="1706"/>
      <c r="H636" s="1706"/>
      <c r="I636" s="1706"/>
      <c r="J636" s="1706"/>
      <c r="K636" s="1706"/>
      <c r="L636" s="1706"/>
      <c r="M636" s="1706"/>
      <c r="N636" s="1707"/>
      <c r="O636" s="1708"/>
      <c r="P636" s="1709"/>
      <c r="Q636" s="1710"/>
      <c r="R636" s="1711"/>
      <c r="S636" s="1712"/>
      <c r="T636" s="1713"/>
      <c r="U636" s="1714"/>
      <c r="V636" s="1715"/>
      <c r="W636" s="1716"/>
      <c r="X636" s="1717" t="s">
        <v>2276</v>
      </c>
      <c r="Y636" s="1718"/>
      <c r="Z636" s="1718"/>
      <c r="AA636" s="1718"/>
      <c r="AB636" s="1719"/>
      <c r="AC636" s="1720"/>
      <c r="AD636" s="1721"/>
      <c r="AE636" s="1722"/>
      <c r="AF636" s="1654"/>
      <c r="AG636" s="1655"/>
      <c r="AH636" s="1655"/>
      <c r="AI636" s="1655"/>
      <c r="AJ636" s="1656"/>
      <c r="AK636" s="1723"/>
      <c r="AL636" s="1724"/>
      <c r="AM636" s="1724"/>
      <c r="AN636" s="1725"/>
      <c r="AO636" s="1645"/>
      <c r="AP636" s="1645"/>
      <c r="AQ636" s="1645"/>
      <c r="AR636" s="1645"/>
      <c r="AS636" s="1645"/>
      <c r="AT636" s="75"/>
      <c r="AU636" s="75"/>
      <c r="AV636" s="75"/>
      <c r="AW636" s="75"/>
      <c r="AX636" s="75"/>
      <c r="AY636" s="75"/>
      <c r="AZ636" s="75"/>
      <c r="BN636" s="1727">
        <f t="shared" si="16"/>
        <v>0</v>
      </c>
      <c r="BO636" s="1728"/>
      <c r="BP636" s="1728"/>
      <c r="BQ636" s="1728"/>
      <c r="BR636" s="1729"/>
      <c r="BS636" s="1727">
        <f t="shared" si="17"/>
        <v>0</v>
      </c>
      <c r="BT636" s="1728"/>
      <c r="BU636" s="1728"/>
      <c r="BV636" s="1728"/>
      <c r="BW636" s="1729"/>
      <c r="BX636" s="1727">
        <f t="shared" si="18"/>
        <v>0</v>
      </c>
      <c r="BY636" s="1728"/>
      <c r="BZ636" s="1728"/>
      <c r="CA636" s="1728"/>
      <c r="CB636" s="1729"/>
      <c r="CC636" s="1727">
        <f t="shared" si="19"/>
        <v>0</v>
      </c>
      <c r="CD636" s="1728"/>
      <c r="CE636" s="1728"/>
      <c r="CF636" s="1728"/>
      <c r="CG636" s="1729"/>
      <c r="CH636" s="1727">
        <f t="shared" si="20"/>
        <v>0</v>
      </c>
      <c r="CI636" s="1728"/>
      <c r="CJ636" s="1728"/>
      <c r="CK636" s="1728"/>
      <c r="CL636" s="1729"/>
      <c r="CM636" s="1727">
        <f t="shared" si="21"/>
        <v>0</v>
      </c>
      <c r="CN636" s="1728"/>
      <c r="CO636" s="1728"/>
      <c r="CP636" s="1728"/>
      <c r="CQ636" s="1729"/>
      <c r="CR636" s="72"/>
      <c r="CS636" s="72"/>
    </row>
    <row r="637" spans="1:126" ht="13.2">
      <c r="B637" s="98" t="s">
        <v>811</v>
      </c>
      <c r="C637" s="1706"/>
      <c r="D637" s="1706"/>
      <c r="E637" s="1706"/>
      <c r="F637" s="1706"/>
      <c r="G637" s="1706"/>
      <c r="H637" s="1706"/>
      <c r="I637" s="1706"/>
      <c r="J637" s="1706"/>
      <c r="K637" s="1706"/>
      <c r="L637" s="1706"/>
      <c r="M637" s="1706"/>
      <c r="N637" s="1707"/>
      <c r="O637" s="1708"/>
      <c r="P637" s="1709"/>
      <c r="Q637" s="1710"/>
      <c r="R637" s="1711"/>
      <c r="S637" s="1712"/>
      <c r="T637" s="1713"/>
      <c r="U637" s="1714"/>
      <c r="V637" s="1715"/>
      <c r="W637" s="1716"/>
      <c r="X637" s="1717" t="s">
        <v>2276</v>
      </c>
      <c r="Y637" s="1718"/>
      <c r="Z637" s="1718"/>
      <c r="AA637" s="1718"/>
      <c r="AB637" s="1719"/>
      <c r="AC637" s="1720"/>
      <c r="AD637" s="1721"/>
      <c r="AE637" s="1722"/>
      <c r="AF637" s="1654"/>
      <c r="AG637" s="1655"/>
      <c r="AH637" s="1655"/>
      <c r="AI637" s="1655"/>
      <c r="AJ637" s="1656"/>
      <c r="AK637" s="1723"/>
      <c r="AL637" s="1724"/>
      <c r="AM637" s="1724"/>
      <c r="AN637" s="1725"/>
      <c r="AO637" s="1645"/>
      <c r="AP637" s="1645"/>
      <c r="AQ637" s="1645"/>
      <c r="AR637" s="1645"/>
      <c r="AS637" s="1645"/>
      <c r="AT637" s="75"/>
      <c r="AU637" s="75"/>
      <c r="AV637" s="75"/>
      <c r="AW637" s="75"/>
      <c r="AX637" s="75"/>
      <c r="AY637" s="75"/>
      <c r="AZ637" s="75"/>
      <c r="BN637" s="1727">
        <f t="shared" si="16"/>
        <v>0</v>
      </c>
      <c r="BO637" s="1728"/>
      <c r="BP637" s="1728"/>
      <c r="BQ637" s="1728"/>
      <c r="BR637" s="1729"/>
      <c r="BS637" s="1727">
        <f t="shared" si="17"/>
        <v>0</v>
      </c>
      <c r="BT637" s="1728"/>
      <c r="BU637" s="1728"/>
      <c r="BV637" s="1728"/>
      <c r="BW637" s="1729"/>
      <c r="BX637" s="1727">
        <f t="shared" si="18"/>
        <v>0</v>
      </c>
      <c r="BY637" s="1728"/>
      <c r="BZ637" s="1728"/>
      <c r="CA637" s="1728"/>
      <c r="CB637" s="1729"/>
      <c r="CC637" s="1727">
        <f t="shared" si="19"/>
        <v>0</v>
      </c>
      <c r="CD637" s="1728"/>
      <c r="CE637" s="1728"/>
      <c r="CF637" s="1728"/>
      <c r="CG637" s="1729"/>
      <c r="CH637" s="1727">
        <f t="shared" si="20"/>
        <v>0</v>
      </c>
      <c r="CI637" s="1728"/>
      <c r="CJ637" s="1728"/>
      <c r="CK637" s="1728"/>
      <c r="CL637" s="1729"/>
      <c r="CM637" s="1727">
        <f t="shared" si="21"/>
        <v>0</v>
      </c>
      <c r="CN637" s="1728"/>
      <c r="CO637" s="1728"/>
      <c r="CP637" s="1728"/>
      <c r="CQ637" s="1729"/>
      <c r="CR637" s="72"/>
      <c r="CS637" s="72"/>
    </row>
    <row r="638" spans="1:126" ht="13.2">
      <c r="B638" s="98" t="s">
        <v>606</v>
      </c>
      <c r="C638" s="1706"/>
      <c r="D638" s="1706"/>
      <c r="E638" s="1706"/>
      <c r="F638" s="1706"/>
      <c r="G638" s="1706"/>
      <c r="H638" s="1706"/>
      <c r="I638" s="1706"/>
      <c r="J638" s="1706"/>
      <c r="K638" s="1706"/>
      <c r="L638" s="1706"/>
      <c r="M638" s="1706"/>
      <c r="N638" s="1707"/>
      <c r="O638" s="1708"/>
      <c r="P638" s="1709"/>
      <c r="Q638" s="1710"/>
      <c r="R638" s="1711"/>
      <c r="S638" s="1712"/>
      <c r="T638" s="1713"/>
      <c r="U638" s="1714"/>
      <c r="V638" s="1715"/>
      <c r="W638" s="1716"/>
      <c r="X638" s="1717" t="s">
        <v>2276</v>
      </c>
      <c r="Y638" s="1718"/>
      <c r="Z638" s="1718"/>
      <c r="AA638" s="1718"/>
      <c r="AB638" s="1719"/>
      <c r="AC638" s="1720"/>
      <c r="AD638" s="1721"/>
      <c r="AE638" s="1722"/>
      <c r="AF638" s="1654"/>
      <c r="AG638" s="1655"/>
      <c r="AH638" s="1655"/>
      <c r="AI638" s="1655"/>
      <c r="AJ638" s="1656"/>
      <c r="AK638" s="1723"/>
      <c r="AL638" s="1724"/>
      <c r="AM638" s="1724"/>
      <c r="AN638" s="1725"/>
      <c r="AO638" s="1645"/>
      <c r="AP638" s="1645"/>
      <c r="AQ638" s="1645"/>
      <c r="AR638" s="1645"/>
      <c r="AS638" s="1645"/>
      <c r="AT638" s="72"/>
      <c r="AU638" s="72"/>
      <c r="AV638" s="72"/>
      <c r="AW638" s="72"/>
      <c r="AX638" s="72"/>
      <c r="AY638" s="72"/>
      <c r="AZ638" s="72"/>
      <c r="BN638" s="1727">
        <f t="shared" si="16"/>
        <v>0</v>
      </c>
      <c r="BO638" s="1728"/>
      <c r="BP638" s="1728"/>
      <c r="BQ638" s="1728"/>
      <c r="BR638" s="1729"/>
      <c r="BS638" s="1727">
        <f t="shared" si="17"/>
        <v>0</v>
      </c>
      <c r="BT638" s="1728"/>
      <c r="BU638" s="1728"/>
      <c r="BV638" s="1728"/>
      <c r="BW638" s="1729"/>
      <c r="BX638" s="1727">
        <f t="shared" si="18"/>
        <v>0</v>
      </c>
      <c r="BY638" s="1728"/>
      <c r="BZ638" s="1728"/>
      <c r="CA638" s="1728"/>
      <c r="CB638" s="1729"/>
      <c r="CC638" s="1727">
        <f t="shared" si="19"/>
        <v>0</v>
      </c>
      <c r="CD638" s="1728"/>
      <c r="CE638" s="1728"/>
      <c r="CF638" s="1728"/>
      <c r="CG638" s="1729"/>
      <c r="CH638" s="1727">
        <f t="shared" si="20"/>
        <v>0</v>
      </c>
      <c r="CI638" s="1728"/>
      <c r="CJ638" s="1728"/>
      <c r="CK638" s="1728"/>
      <c r="CL638" s="1729"/>
      <c r="CM638" s="1727">
        <f t="shared" si="21"/>
        <v>0</v>
      </c>
      <c r="CN638" s="1728"/>
      <c r="CO638" s="1728"/>
      <c r="CP638" s="1728"/>
      <c r="CQ638" s="1729"/>
      <c r="CR638" s="72"/>
      <c r="CS638" s="72"/>
    </row>
    <row r="639" spans="1:126" ht="13.2">
      <c r="B639" s="98" t="s">
        <v>191</v>
      </c>
      <c r="C639" s="1706"/>
      <c r="D639" s="1706"/>
      <c r="E639" s="1706"/>
      <c r="F639" s="1706"/>
      <c r="G639" s="1706"/>
      <c r="H639" s="1706"/>
      <c r="I639" s="1706"/>
      <c r="J639" s="1706"/>
      <c r="K639" s="1706"/>
      <c r="L639" s="1706"/>
      <c r="M639" s="1706"/>
      <c r="N639" s="1707"/>
      <c r="O639" s="1708"/>
      <c r="P639" s="1709"/>
      <c r="Q639" s="1710"/>
      <c r="R639" s="1711"/>
      <c r="S639" s="1712"/>
      <c r="T639" s="1713"/>
      <c r="U639" s="1714"/>
      <c r="V639" s="1715"/>
      <c r="W639" s="1716"/>
      <c r="X639" s="1717" t="s">
        <v>2276</v>
      </c>
      <c r="Y639" s="1718"/>
      <c r="Z639" s="1718"/>
      <c r="AA639" s="1718"/>
      <c r="AB639" s="1719"/>
      <c r="AC639" s="1720"/>
      <c r="AD639" s="1721"/>
      <c r="AE639" s="1722"/>
      <c r="AF639" s="1654"/>
      <c r="AG639" s="1655"/>
      <c r="AH639" s="1655"/>
      <c r="AI639" s="1655"/>
      <c r="AJ639" s="1656"/>
      <c r="AK639" s="1723"/>
      <c r="AL639" s="1724"/>
      <c r="AM639" s="1724"/>
      <c r="AN639" s="1725"/>
      <c r="AO639" s="1645"/>
      <c r="AP639" s="1645"/>
      <c r="AQ639" s="1645"/>
      <c r="AR639" s="1645"/>
      <c r="AS639" s="1645"/>
      <c r="AT639" s="72"/>
      <c r="AU639" s="72"/>
      <c r="AV639" s="72"/>
      <c r="AW639" s="72"/>
      <c r="AX639" s="72"/>
      <c r="AY639" s="72"/>
      <c r="AZ639" s="72"/>
      <c r="BN639" s="1727">
        <f t="shared" si="16"/>
        <v>0</v>
      </c>
      <c r="BO639" s="1728"/>
      <c r="BP639" s="1728"/>
      <c r="BQ639" s="1728"/>
      <c r="BR639" s="1729"/>
      <c r="BS639" s="1727">
        <f t="shared" si="17"/>
        <v>0</v>
      </c>
      <c r="BT639" s="1728"/>
      <c r="BU639" s="1728"/>
      <c r="BV639" s="1728"/>
      <c r="BW639" s="1729"/>
      <c r="BX639" s="1727">
        <f t="shared" si="18"/>
        <v>0</v>
      </c>
      <c r="BY639" s="1728"/>
      <c r="BZ639" s="1728"/>
      <c r="CA639" s="1728"/>
      <c r="CB639" s="1729"/>
      <c r="CC639" s="1727">
        <f t="shared" si="19"/>
        <v>0</v>
      </c>
      <c r="CD639" s="1728"/>
      <c r="CE639" s="1728"/>
      <c r="CF639" s="1728"/>
      <c r="CG639" s="1729"/>
      <c r="CH639" s="1727">
        <f t="shared" si="20"/>
        <v>0</v>
      </c>
      <c r="CI639" s="1728"/>
      <c r="CJ639" s="1728"/>
      <c r="CK639" s="1728"/>
      <c r="CL639" s="1729"/>
      <c r="CM639" s="1727">
        <f t="shared" si="21"/>
        <v>0</v>
      </c>
      <c r="CN639" s="1728"/>
      <c r="CO639" s="1728"/>
      <c r="CP639" s="1728"/>
      <c r="CQ639" s="1729"/>
      <c r="CR639" s="72"/>
      <c r="CS639" s="72"/>
    </row>
    <row r="640" spans="1:126" ht="13.2">
      <c r="B640" s="98" t="s">
        <v>37</v>
      </c>
      <c r="C640" s="1706"/>
      <c r="D640" s="1706"/>
      <c r="E640" s="1706"/>
      <c r="F640" s="1706"/>
      <c r="G640" s="1706"/>
      <c r="H640" s="1706"/>
      <c r="I640" s="1706"/>
      <c r="J640" s="1706"/>
      <c r="K640" s="1706"/>
      <c r="L640" s="1706"/>
      <c r="M640" s="1706"/>
      <c r="N640" s="1707"/>
      <c r="O640" s="1708"/>
      <c r="P640" s="1709"/>
      <c r="Q640" s="1710"/>
      <c r="R640" s="1711"/>
      <c r="S640" s="1712"/>
      <c r="T640" s="1713"/>
      <c r="U640" s="1714"/>
      <c r="V640" s="1715"/>
      <c r="W640" s="1716"/>
      <c r="X640" s="1717" t="s">
        <v>2276</v>
      </c>
      <c r="Y640" s="1718"/>
      <c r="Z640" s="1718"/>
      <c r="AA640" s="1718"/>
      <c r="AB640" s="1719"/>
      <c r="AC640" s="1720"/>
      <c r="AD640" s="1721"/>
      <c r="AE640" s="1722"/>
      <c r="AF640" s="1654"/>
      <c r="AG640" s="1655"/>
      <c r="AH640" s="1655"/>
      <c r="AI640" s="1655"/>
      <c r="AJ640" s="1656"/>
      <c r="AK640" s="1723"/>
      <c r="AL640" s="1724"/>
      <c r="AM640" s="1724"/>
      <c r="AN640" s="1725"/>
      <c r="AO640" s="1645"/>
      <c r="AP640" s="1645"/>
      <c r="AQ640" s="1645"/>
      <c r="AR640" s="1645"/>
      <c r="AS640" s="1645"/>
      <c r="AT640" s="72"/>
      <c r="AU640" s="72"/>
      <c r="AV640" s="72"/>
      <c r="AW640" s="72"/>
      <c r="AX640" s="72"/>
      <c r="AY640" s="72"/>
      <c r="AZ640" s="72"/>
      <c r="BN640" s="1727">
        <f t="shared" si="16"/>
        <v>0</v>
      </c>
      <c r="BO640" s="1728"/>
      <c r="BP640" s="1728"/>
      <c r="BQ640" s="1728"/>
      <c r="BR640" s="1729"/>
      <c r="BS640" s="1727">
        <f t="shared" si="17"/>
        <v>0</v>
      </c>
      <c r="BT640" s="1728"/>
      <c r="BU640" s="1728"/>
      <c r="BV640" s="1728"/>
      <c r="BW640" s="1729"/>
      <c r="BX640" s="1727">
        <f t="shared" si="18"/>
        <v>0</v>
      </c>
      <c r="BY640" s="1728"/>
      <c r="BZ640" s="1728"/>
      <c r="CA640" s="1728"/>
      <c r="CB640" s="1729"/>
      <c r="CC640" s="1727">
        <f t="shared" si="19"/>
        <v>0</v>
      </c>
      <c r="CD640" s="1728"/>
      <c r="CE640" s="1728"/>
      <c r="CF640" s="1728"/>
      <c r="CG640" s="1729"/>
      <c r="CH640" s="1727">
        <f t="shared" si="20"/>
        <v>0</v>
      </c>
      <c r="CI640" s="1728"/>
      <c r="CJ640" s="1728"/>
      <c r="CK640" s="1728"/>
      <c r="CL640" s="1729"/>
      <c r="CM640" s="1727">
        <f t="shared" si="21"/>
        <v>0</v>
      </c>
      <c r="CN640" s="1728"/>
      <c r="CO640" s="1728"/>
      <c r="CP640" s="1728"/>
      <c r="CQ640" s="1729"/>
      <c r="CR640" s="72"/>
      <c r="CS640" s="72"/>
    </row>
    <row r="641" spans="1:97" ht="12.75" customHeight="1">
      <c r="B641" s="98" t="s">
        <v>38</v>
      </c>
      <c r="C641" s="1706"/>
      <c r="D641" s="1706"/>
      <c r="E641" s="1706"/>
      <c r="F641" s="1706"/>
      <c r="G641" s="1706"/>
      <c r="H641" s="1706"/>
      <c r="I641" s="1706"/>
      <c r="J641" s="1706"/>
      <c r="K641" s="1706"/>
      <c r="L641" s="1706"/>
      <c r="M641" s="1706"/>
      <c r="N641" s="1707"/>
      <c r="O641" s="1708"/>
      <c r="P641" s="1709"/>
      <c r="Q641" s="1710"/>
      <c r="R641" s="1711"/>
      <c r="S641" s="1712"/>
      <c r="T641" s="1713"/>
      <c r="U641" s="1714"/>
      <c r="V641" s="1715"/>
      <c r="W641" s="1716"/>
      <c r="X641" s="1717" t="s">
        <v>2276</v>
      </c>
      <c r="Y641" s="1718"/>
      <c r="Z641" s="1718"/>
      <c r="AA641" s="1718"/>
      <c r="AB641" s="1719"/>
      <c r="AC641" s="1720"/>
      <c r="AD641" s="1721"/>
      <c r="AE641" s="1722"/>
      <c r="AF641" s="1654"/>
      <c r="AG641" s="1655"/>
      <c r="AH641" s="1655"/>
      <c r="AI641" s="1655"/>
      <c r="AJ641" s="1656"/>
      <c r="AK641" s="1723"/>
      <c r="AL641" s="1724"/>
      <c r="AM641" s="1724"/>
      <c r="AN641" s="1725"/>
      <c r="AO641" s="1645"/>
      <c r="AP641" s="1645"/>
      <c r="AQ641" s="1645"/>
      <c r="AR641" s="1645"/>
      <c r="AS641" s="1645"/>
      <c r="AT641" s="75"/>
      <c r="AU641" s="75"/>
      <c r="AV641" s="75"/>
      <c r="AW641" s="75"/>
      <c r="AX641" s="75"/>
      <c r="AY641" s="75"/>
      <c r="AZ641" s="75"/>
      <c r="BN641" s="1727">
        <f t="shared" si="16"/>
        <v>0</v>
      </c>
      <c r="BO641" s="1728"/>
      <c r="BP641" s="1728"/>
      <c r="BQ641" s="1728"/>
      <c r="BR641" s="1729"/>
      <c r="BS641" s="1727">
        <f t="shared" si="17"/>
        <v>0</v>
      </c>
      <c r="BT641" s="1728"/>
      <c r="BU641" s="1728"/>
      <c r="BV641" s="1728"/>
      <c r="BW641" s="1729"/>
      <c r="BX641" s="1727">
        <f t="shared" si="18"/>
        <v>0</v>
      </c>
      <c r="BY641" s="1728"/>
      <c r="BZ641" s="1728"/>
      <c r="CA641" s="1728"/>
      <c r="CB641" s="1729"/>
      <c r="CC641" s="1727">
        <f t="shared" si="19"/>
        <v>0</v>
      </c>
      <c r="CD641" s="1728"/>
      <c r="CE641" s="1728"/>
      <c r="CF641" s="1728"/>
      <c r="CG641" s="1729"/>
      <c r="CH641" s="1727">
        <f t="shared" si="20"/>
        <v>0</v>
      </c>
      <c r="CI641" s="1728"/>
      <c r="CJ641" s="1728"/>
      <c r="CK641" s="1728"/>
      <c r="CL641" s="1729"/>
      <c r="CM641" s="1727">
        <f t="shared" si="21"/>
        <v>0</v>
      </c>
      <c r="CN641" s="1728"/>
      <c r="CO641" s="1728"/>
      <c r="CP641" s="1728"/>
      <c r="CQ641" s="1729"/>
      <c r="CR641" s="72"/>
      <c r="CS641" s="72"/>
    </row>
    <row r="642" spans="1:97" ht="12.75" customHeight="1">
      <c r="B642" s="1742" t="s">
        <v>402</v>
      </c>
      <c r="C642" s="1743"/>
      <c r="D642" s="1743"/>
      <c r="E642" s="1743"/>
      <c r="F642" s="1743"/>
      <c r="G642" s="1743"/>
      <c r="H642" s="1743"/>
      <c r="I642" s="1743"/>
      <c r="J642" s="1743"/>
      <c r="K642" s="1743"/>
      <c r="L642" s="1743"/>
      <c r="M642" s="1743"/>
      <c r="N642" s="1743"/>
      <c r="O642" s="1743"/>
      <c r="P642" s="1743"/>
      <c r="Q642" s="1743"/>
      <c r="R642" s="1743"/>
      <c r="S642" s="1743"/>
      <c r="T642" s="1743"/>
      <c r="U642" s="1743"/>
      <c r="V642" s="1743"/>
      <c r="W642" s="1743"/>
      <c r="X642" s="1743"/>
      <c r="Y642" s="1743"/>
      <c r="Z642" s="1743"/>
      <c r="AA642" s="1743"/>
      <c r="AB642" s="1743"/>
      <c r="AC642" s="1743"/>
      <c r="AD642" s="1743"/>
      <c r="AE642" s="1743"/>
      <c r="AF642" s="1743"/>
      <c r="AG642" s="1743"/>
      <c r="AH642" s="1743"/>
      <c r="AI642" s="1743"/>
      <c r="AJ642" s="1743"/>
      <c r="AK642" s="1743"/>
      <c r="AL642" s="1743"/>
      <c r="AM642" s="1743"/>
      <c r="AN642" s="1745"/>
      <c r="AO642" s="1657">
        <f>SUM(AO630:AS641)</f>
        <v>13968911</v>
      </c>
      <c r="AP642" s="1658"/>
      <c r="AQ642" s="1658"/>
      <c r="AR642" s="1658"/>
      <c r="AS642" s="1659"/>
      <c r="AT642" s="75"/>
      <c r="AU642" s="75"/>
      <c r="AV642" s="75"/>
      <c r="AW642" s="75"/>
      <c r="AX642" s="75"/>
      <c r="AY642" s="75"/>
      <c r="AZ642" s="75"/>
      <c r="BN642" s="1727">
        <f t="shared" si="16"/>
        <v>0</v>
      </c>
      <c r="BO642" s="1728"/>
      <c r="BP642" s="1728"/>
      <c r="BQ642" s="1728"/>
      <c r="BR642" s="1729"/>
      <c r="BS642" s="1727">
        <f t="shared" si="17"/>
        <v>0</v>
      </c>
      <c r="BT642" s="1728"/>
      <c r="BU642" s="1728"/>
      <c r="BV642" s="1728"/>
      <c r="BW642" s="1729"/>
      <c r="BX642" s="1727">
        <f t="shared" si="18"/>
        <v>0</v>
      </c>
      <c r="BY642" s="1728"/>
      <c r="BZ642" s="1728"/>
      <c r="CA642" s="1728"/>
      <c r="CB642" s="1729"/>
      <c r="CC642" s="1727">
        <f t="shared" si="19"/>
        <v>0</v>
      </c>
      <c r="CD642" s="1728"/>
      <c r="CE642" s="1728"/>
      <c r="CF642" s="1728"/>
      <c r="CG642" s="1729"/>
      <c r="CH642" s="1727">
        <f t="shared" si="20"/>
        <v>0</v>
      </c>
      <c r="CI642" s="1728"/>
      <c r="CJ642" s="1728"/>
      <c r="CK642" s="1728"/>
      <c r="CL642" s="1729"/>
      <c r="CM642" s="1727">
        <f t="shared" si="21"/>
        <v>0</v>
      </c>
      <c r="CN642" s="1728"/>
      <c r="CO642" s="1728"/>
      <c r="CP642" s="1728"/>
      <c r="CQ642" s="1729"/>
      <c r="CR642" s="72"/>
      <c r="CS642" s="72"/>
    </row>
    <row r="643" spans="1:97" ht="13.2">
      <c r="B643" s="1742" t="s">
        <v>403</v>
      </c>
      <c r="C643" s="1743"/>
      <c r="D643" s="1743"/>
      <c r="E643" s="1743"/>
      <c r="F643" s="1743"/>
      <c r="G643" s="1743"/>
      <c r="H643" s="1743"/>
      <c r="I643" s="1743"/>
      <c r="J643" s="1743"/>
      <c r="K643" s="1743"/>
      <c r="L643" s="1743"/>
      <c r="M643" s="1743"/>
      <c r="N643" s="1743"/>
      <c r="O643" s="1743"/>
      <c r="P643" s="1743"/>
      <c r="Q643" s="1743"/>
      <c r="R643" s="1743"/>
      <c r="S643" s="1743"/>
      <c r="T643" s="1743"/>
      <c r="U643" s="1743"/>
      <c r="V643" s="1743"/>
      <c r="W643" s="1743"/>
      <c r="X643" s="1743"/>
      <c r="Y643" s="1743"/>
      <c r="Z643" s="1743"/>
      <c r="AA643" s="1743"/>
      <c r="AB643" s="1743"/>
      <c r="AC643" s="1743"/>
      <c r="AD643" s="1743"/>
      <c r="AE643" s="1743"/>
      <c r="AF643" s="1743"/>
      <c r="AG643" s="1743"/>
      <c r="AH643" s="1743"/>
      <c r="AI643" s="1743"/>
      <c r="AJ643" s="1743"/>
      <c r="AK643" s="1743"/>
      <c r="AL643" s="1743"/>
      <c r="AM643" s="1743"/>
      <c r="AN643" s="1745"/>
      <c r="AO643" s="1651">
        <v>24866638</v>
      </c>
      <c r="AP643" s="1652"/>
      <c r="AQ643" s="1652"/>
      <c r="AR643" s="1652"/>
      <c r="AS643" s="1653"/>
      <c r="AT643" s="75"/>
      <c r="AU643" s="75"/>
      <c r="AV643" s="75"/>
      <c r="AW643" s="75"/>
      <c r="AX643" s="75"/>
      <c r="AY643" s="75"/>
      <c r="AZ643" s="75"/>
      <c r="BN643" s="1727">
        <f t="shared" si="16"/>
        <v>0</v>
      </c>
      <c r="BO643" s="1728"/>
      <c r="BP643" s="1728"/>
      <c r="BQ643" s="1728"/>
      <c r="BR643" s="1729"/>
      <c r="BS643" s="1727">
        <f t="shared" si="17"/>
        <v>0</v>
      </c>
      <c r="BT643" s="1728"/>
      <c r="BU643" s="1728"/>
      <c r="BV643" s="1728"/>
      <c r="BW643" s="1729"/>
      <c r="BX643" s="1727">
        <f t="shared" si="18"/>
        <v>0</v>
      </c>
      <c r="BY643" s="1728"/>
      <c r="BZ643" s="1728"/>
      <c r="CA643" s="1728"/>
      <c r="CB643" s="1729"/>
      <c r="CC643" s="1727">
        <f t="shared" si="19"/>
        <v>0</v>
      </c>
      <c r="CD643" s="1728"/>
      <c r="CE643" s="1728"/>
      <c r="CF643" s="1728"/>
      <c r="CG643" s="1729"/>
      <c r="CH643" s="1727">
        <f t="shared" si="20"/>
        <v>0</v>
      </c>
      <c r="CI643" s="1728"/>
      <c r="CJ643" s="1728"/>
      <c r="CK643" s="1728"/>
      <c r="CL643" s="1729"/>
      <c r="CM643" s="1727">
        <f t="shared" si="21"/>
        <v>0</v>
      </c>
      <c r="CN643" s="1728"/>
      <c r="CO643" s="1728"/>
      <c r="CP643" s="1728"/>
      <c r="CQ643" s="1729"/>
      <c r="CR643" s="72"/>
      <c r="CS643" s="72"/>
    </row>
    <row r="644" spans="1:97" ht="13.2">
      <c r="B644" s="1918" t="s">
        <v>1044</v>
      </c>
      <c r="C644" s="1744"/>
      <c r="D644" s="1744"/>
      <c r="E644" s="1744"/>
      <c r="F644" s="1744"/>
      <c r="G644" s="1744"/>
      <c r="H644" s="1744"/>
      <c r="I644" s="1744"/>
      <c r="J644" s="1744"/>
      <c r="K644" s="1744"/>
      <c r="L644" s="1744"/>
      <c r="M644" s="1744"/>
      <c r="N644" s="1744"/>
      <c r="O644" s="1744"/>
      <c r="P644" s="1744"/>
      <c r="Q644" s="1744"/>
      <c r="R644" s="1744"/>
      <c r="S644" s="1744"/>
      <c r="T644" s="1744"/>
      <c r="U644" s="1744"/>
      <c r="V644" s="1744"/>
      <c r="W644" s="1744"/>
      <c r="X644" s="1744"/>
      <c r="Y644" s="1744"/>
      <c r="Z644" s="1744"/>
      <c r="AA644" s="1744"/>
      <c r="AB644" s="1744"/>
      <c r="AC644" s="1744"/>
      <c r="AD644" s="1744"/>
      <c r="AE644" s="1744"/>
      <c r="AF644" s="1744"/>
      <c r="AG644" s="1744"/>
      <c r="AH644" s="1744"/>
      <c r="AI644" s="1744"/>
      <c r="AJ644" s="1744"/>
      <c r="AK644" s="1744"/>
      <c r="AL644" s="1744"/>
      <c r="AM644" s="1744"/>
      <c r="AN644" s="1919"/>
      <c r="AO644" s="1657">
        <f>AO642+AO643</f>
        <v>38835549</v>
      </c>
      <c r="AP644" s="1658"/>
      <c r="AQ644" s="1658"/>
      <c r="AR644" s="1658"/>
      <c r="AS644" s="1659"/>
      <c r="AT644" s="75"/>
      <c r="AU644" s="75"/>
      <c r="AV644" s="75"/>
      <c r="AW644" s="75"/>
      <c r="AX644" s="75"/>
      <c r="AY644" s="75"/>
      <c r="AZ644" s="75"/>
      <c r="BN644" s="1730">
        <f>SUM(BN634:BR643)</f>
        <v>0</v>
      </c>
      <c r="BO644" s="1731"/>
      <c r="BP644" s="1731"/>
      <c r="BQ644" s="1731"/>
      <c r="BR644" s="1732"/>
      <c r="BS644" s="1730">
        <f>SUM(BS634:BW643)</f>
        <v>0</v>
      </c>
      <c r="BT644" s="1731"/>
      <c r="BU644" s="1731"/>
      <c r="BV644" s="1731"/>
      <c r="BW644" s="1732"/>
      <c r="BX644" s="1730">
        <f>SUM(BX634:CB643)</f>
        <v>0</v>
      </c>
      <c r="BY644" s="1731"/>
      <c r="BZ644" s="1731"/>
      <c r="CA644" s="1731"/>
      <c r="CB644" s="1732"/>
      <c r="CC644" s="1730">
        <f>SUM(CC634:CG643)</f>
        <v>0</v>
      </c>
      <c r="CD644" s="1731"/>
      <c r="CE644" s="1731"/>
      <c r="CF644" s="1731"/>
      <c r="CG644" s="1732"/>
      <c r="CH644" s="1730">
        <f>SUM(CH634:CL643)</f>
        <v>0</v>
      </c>
      <c r="CI644" s="1731"/>
      <c r="CJ644" s="1731"/>
      <c r="CK644" s="1731"/>
      <c r="CL644" s="1732"/>
      <c r="CM644" s="1730">
        <f>SUM(CM634:CQ643)</f>
        <v>0</v>
      </c>
      <c r="CN644" s="1731"/>
      <c r="CO644" s="1731"/>
      <c r="CP644" s="1731"/>
      <c r="CQ644" s="1732"/>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1004</v>
      </c>
      <c r="B646" s="16" t="s">
        <v>93</v>
      </c>
      <c r="G646" s="1700" t="str">
        <f>C630</f>
        <v>JP Morgan Chase Bank / Perm Loan</v>
      </c>
      <c r="H646" s="1700"/>
      <c r="I646" s="1700"/>
      <c r="J646" s="1700"/>
      <c r="K646" s="1700"/>
      <c r="L646" s="1700"/>
      <c r="M646" s="1700"/>
      <c r="N646" s="1700"/>
      <c r="O646" s="1700"/>
      <c r="P646" s="1700"/>
      <c r="Q646" s="1700"/>
      <c r="R646" s="1700"/>
      <c r="S646" s="18"/>
      <c r="T646" s="101" t="s">
        <v>1005</v>
      </c>
      <c r="U646" s="16" t="s">
        <v>93</v>
      </c>
      <c r="Z646" s="1700" t="str">
        <f>C631</f>
        <v>City of Montebello / Land Note</v>
      </c>
      <c r="AA646" s="1700"/>
      <c r="AB646" s="1700"/>
      <c r="AC646" s="1700"/>
      <c r="AD646" s="1700"/>
      <c r="AE646" s="1700"/>
      <c r="AF646" s="1700"/>
      <c r="AG646" s="1700"/>
      <c r="AH646" s="1700"/>
      <c r="AI646" s="1700"/>
      <c r="AJ646" s="1700"/>
      <c r="AK646" s="1700"/>
      <c r="AM646" s="75"/>
      <c r="AN646" s="75"/>
      <c r="AO646" s="75"/>
      <c r="AP646" s="75"/>
      <c r="AQ646" s="75"/>
      <c r="AR646" s="75"/>
      <c r="AS646" s="75"/>
      <c r="AT646" s="75"/>
      <c r="AU646" s="75"/>
      <c r="AV646" s="75"/>
      <c r="AW646" s="75"/>
      <c r="AX646" s="75"/>
      <c r="AY646" s="75"/>
      <c r="AZ646" s="75"/>
      <c r="CP646" s="1396" t="s">
        <v>1947</v>
      </c>
      <c r="CQ646" s="738">
        <f>BN644+BS644+BX644+CC644+CH644+CM644</f>
        <v>0</v>
      </c>
      <c r="CR646" s="72"/>
      <c r="CS646" s="72"/>
    </row>
    <row r="647" spans="1:97" ht="13.8" thickBot="1">
      <c r="A647" s="46"/>
      <c r="B647" s="16" t="s">
        <v>416</v>
      </c>
      <c r="G647" s="1697" t="s">
        <v>2392</v>
      </c>
      <c r="H647" s="1697"/>
      <c r="I647" s="1697"/>
      <c r="J647" s="1697"/>
      <c r="K647" s="1697"/>
      <c r="L647" s="1697"/>
      <c r="M647" s="1697"/>
      <c r="N647" s="1697"/>
      <c r="O647" s="1697"/>
      <c r="P647" s="1697"/>
      <c r="Q647" s="1697"/>
      <c r="R647" s="1697"/>
      <c r="S647" s="18"/>
      <c r="T647" s="46"/>
      <c r="U647" s="16" t="s">
        <v>416</v>
      </c>
      <c r="Z647" s="1697" t="s">
        <v>2393</v>
      </c>
      <c r="AA647" s="1697"/>
      <c r="AB647" s="1697"/>
      <c r="AC647" s="1697"/>
      <c r="AD647" s="1697"/>
      <c r="AE647" s="1697"/>
      <c r="AF647" s="1697"/>
      <c r="AG647" s="1697"/>
      <c r="AH647" s="1697"/>
      <c r="AI647" s="1697"/>
      <c r="AJ647" s="1697"/>
      <c r="AK647" s="1697"/>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697" t="s">
        <v>125</v>
      </c>
      <c r="H648" s="1697"/>
      <c r="I648" s="1697"/>
      <c r="J648" s="1697"/>
      <c r="K648" s="1697"/>
      <c r="L648" s="1697"/>
      <c r="M648" s="1697"/>
      <c r="N648" s="1697"/>
      <c r="O648" s="1697"/>
      <c r="P648" s="1697"/>
      <c r="Q648" s="1697"/>
      <c r="R648" s="1697"/>
      <c r="S648" s="102"/>
      <c r="T648" s="46"/>
      <c r="U648" s="16" t="s">
        <v>479</v>
      </c>
      <c r="Z648" s="1705" t="s">
        <v>2336</v>
      </c>
      <c r="AA648" s="1705"/>
      <c r="AB648" s="1705"/>
      <c r="AC648" s="1705"/>
      <c r="AD648" s="1705"/>
      <c r="AE648" s="1705"/>
      <c r="AF648" s="1705"/>
      <c r="AG648" s="1705"/>
      <c r="AH648" s="1705"/>
      <c r="AI648" s="1705"/>
      <c r="AJ648" s="1705"/>
      <c r="AK648" s="1705"/>
      <c r="AM648" s="75"/>
      <c r="AN648" s="75"/>
      <c r="AO648" s="75"/>
      <c r="AP648" s="75"/>
      <c r="AQ648" s="75"/>
      <c r="AR648" s="75"/>
      <c r="AS648" s="75"/>
      <c r="AT648" s="75"/>
      <c r="AU648" s="75"/>
      <c r="AV648" s="75"/>
      <c r="AW648" s="75"/>
      <c r="AX648" s="75"/>
      <c r="AY648" s="75"/>
      <c r="AZ648" s="75"/>
      <c r="CP648" s="1396" t="s">
        <v>1949</v>
      </c>
      <c r="CQ648" s="738">
        <f>CQ646+CQ627</f>
        <v>116</v>
      </c>
      <c r="CR648" s="72"/>
      <c r="CS648" s="72"/>
    </row>
    <row r="649" spans="1:97" ht="13.2">
      <c r="A649" s="46"/>
      <c r="B649" s="16" t="s">
        <v>915</v>
      </c>
      <c r="G649" s="1697" t="s">
        <v>2394</v>
      </c>
      <c r="H649" s="1697"/>
      <c r="I649" s="1697"/>
      <c r="J649" s="1697"/>
      <c r="K649" s="1697"/>
      <c r="L649" s="1697"/>
      <c r="M649" s="1697"/>
      <c r="N649" s="1697"/>
      <c r="O649" s="1697"/>
      <c r="P649" s="1697"/>
      <c r="Q649" s="1697"/>
      <c r="R649" s="1697"/>
      <c r="S649" s="18"/>
      <c r="T649" s="46"/>
      <c r="U649" s="16" t="s">
        <v>915</v>
      </c>
      <c r="Z649" s="1705" t="s">
        <v>2395</v>
      </c>
      <c r="AA649" s="1705"/>
      <c r="AB649" s="1705"/>
      <c r="AC649" s="1705"/>
      <c r="AD649" s="1705"/>
      <c r="AE649" s="1705"/>
      <c r="AF649" s="1705"/>
      <c r="AG649" s="1705"/>
      <c r="AH649" s="1705"/>
      <c r="AI649" s="1705"/>
      <c r="AJ649" s="1705"/>
      <c r="AK649" s="1705"/>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716</v>
      </c>
      <c r="G650" s="1698" t="s">
        <v>2396</v>
      </c>
      <c r="H650" s="1699"/>
      <c r="I650" s="1699"/>
      <c r="J650" s="1699"/>
      <c r="K650" s="1699"/>
      <c r="L650" s="1699"/>
      <c r="O650" s="149" t="s">
        <v>900</v>
      </c>
      <c r="P650" s="1695"/>
      <c r="Q650" s="1695"/>
      <c r="R650" s="1695"/>
      <c r="S650" s="20"/>
      <c r="T650" s="46"/>
      <c r="U650" s="16" t="s">
        <v>716</v>
      </c>
      <c r="Z650" s="1698" t="s">
        <v>2397</v>
      </c>
      <c r="AA650" s="1699"/>
      <c r="AB650" s="1699"/>
      <c r="AC650" s="1699"/>
      <c r="AD650" s="1699"/>
      <c r="AE650" s="1699"/>
      <c r="AH650" s="149" t="s">
        <v>900</v>
      </c>
      <c r="AI650" s="1695"/>
      <c r="AJ650" s="1695"/>
      <c r="AK650" s="1695"/>
      <c r="AM650" s="75"/>
      <c r="AN650" s="75"/>
      <c r="AO650" s="75"/>
      <c r="AP650" s="75"/>
      <c r="AQ650" s="75"/>
      <c r="AR650" s="75"/>
      <c r="AS650" s="75"/>
      <c r="AT650" s="75"/>
      <c r="AU650" s="75"/>
      <c r="AV650" s="75"/>
      <c r="AW650" s="75"/>
      <c r="AX650" s="75"/>
      <c r="AY650" s="75"/>
      <c r="AZ650" s="75"/>
      <c r="BN650" s="1730">
        <f>BN625+BN632+BN644</f>
        <v>0</v>
      </c>
      <c r="BO650" s="1731"/>
      <c r="BP650" s="1731"/>
      <c r="BQ650" s="1731"/>
      <c r="BR650" s="1732"/>
      <c r="BS650" s="1730">
        <f>BS625+BS632+BS644</f>
        <v>27</v>
      </c>
      <c r="BT650" s="1731"/>
      <c r="BU650" s="1731"/>
      <c r="BV650" s="1731"/>
      <c r="BW650" s="1732"/>
      <c r="BX650" s="1730">
        <f>BX625+BX632+BX644</f>
        <v>16</v>
      </c>
      <c r="BY650" s="1731"/>
      <c r="BZ650" s="1731"/>
      <c r="CA650" s="1731"/>
      <c r="CB650" s="1732"/>
      <c r="CC650" s="1730">
        <f>CC625+CC632+CC644</f>
        <v>20</v>
      </c>
      <c r="CD650" s="1731"/>
      <c r="CE650" s="1731"/>
      <c r="CF650" s="1731"/>
      <c r="CG650" s="1732"/>
      <c r="CH650" s="1730">
        <f>CH625+CH632+CH644</f>
        <v>0</v>
      </c>
      <c r="CI650" s="1731"/>
      <c r="CJ650" s="1731"/>
      <c r="CK650" s="1731"/>
      <c r="CL650" s="1732"/>
      <c r="CM650" s="1733">
        <f>CM644+CM632+CM625</f>
        <v>0</v>
      </c>
      <c r="CN650" s="1734"/>
      <c r="CO650" s="1734"/>
      <c r="CP650" s="1734"/>
      <c r="CQ650" s="1735"/>
      <c r="CR650" s="72"/>
      <c r="CS650" s="72"/>
    </row>
    <row r="651" spans="1:97" ht="13.2">
      <c r="A651" s="46"/>
      <c r="B651" s="16" t="s">
        <v>916</v>
      </c>
      <c r="H651" s="1697" t="s">
        <v>2402</v>
      </c>
      <c r="I651" s="1697"/>
      <c r="J651" s="1697"/>
      <c r="K651" s="1697"/>
      <c r="L651" s="1697"/>
      <c r="M651" s="1697"/>
      <c r="N651" s="1697"/>
      <c r="O651" s="1697"/>
      <c r="P651" s="1697"/>
      <c r="Q651" s="1697"/>
      <c r="R651" s="1697"/>
      <c r="S651" s="18"/>
      <c r="T651" s="46"/>
      <c r="U651" s="16" t="s">
        <v>916</v>
      </c>
      <c r="AA651" s="1697" t="s">
        <v>2403</v>
      </c>
      <c r="AB651" s="1697"/>
      <c r="AC651" s="1697"/>
      <c r="AD651" s="1697"/>
      <c r="AE651" s="1697"/>
      <c r="AF651" s="1697"/>
      <c r="AG651" s="1697"/>
      <c r="AH651" s="1697"/>
      <c r="AI651" s="1697"/>
      <c r="AJ651" s="1697"/>
      <c r="AK651" s="169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918</v>
      </c>
      <c r="N652" s="1696" t="s">
        <v>119</v>
      </c>
      <c r="O652" s="1696"/>
      <c r="T652" s="46"/>
      <c r="U652" s="16" t="s">
        <v>918</v>
      </c>
      <c r="AG652" s="1696" t="s">
        <v>119</v>
      </c>
      <c r="AH652" s="169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1011</v>
      </c>
      <c r="B654" s="16" t="s">
        <v>93</v>
      </c>
      <c r="G654" s="1700" t="str">
        <f>C632</f>
        <v>City of Montebello / Impact Fee Loan</v>
      </c>
      <c r="H654" s="1700"/>
      <c r="I654" s="1700"/>
      <c r="J654" s="1700"/>
      <c r="K654" s="1700"/>
      <c r="L654" s="1700"/>
      <c r="M654" s="1700"/>
      <c r="N654" s="1700"/>
      <c r="O654" s="1700"/>
      <c r="P654" s="1700"/>
      <c r="Q654" s="1700"/>
      <c r="R654" s="1700"/>
      <c r="T654" s="101" t="s">
        <v>480</v>
      </c>
      <c r="U654" s="16" t="s">
        <v>93</v>
      </c>
      <c r="Z654" s="1700" t="str">
        <f>C633</f>
        <v>Deferred Develop Fee</v>
      </c>
      <c r="AA654" s="1700"/>
      <c r="AB654" s="1700"/>
      <c r="AC654" s="1700"/>
      <c r="AD654" s="1700"/>
      <c r="AE654" s="1700"/>
      <c r="AF654" s="1700"/>
      <c r="AG654" s="1700"/>
      <c r="AH654" s="1700"/>
      <c r="AI654" s="1700"/>
      <c r="AJ654" s="1700"/>
      <c r="AK654" s="170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1697" t="s">
        <v>2393</v>
      </c>
      <c r="H655" s="1697"/>
      <c r="I655" s="1697"/>
      <c r="J655" s="1697"/>
      <c r="K655" s="1697"/>
      <c r="L655" s="1697"/>
      <c r="M655" s="1697"/>
      <c r="N655" s="1697"/>
      <c r="O655" s="1697"/>
      <c r="P655" s="1697"/>
      <c r="Q655" s="1697"/>
      <c r="R655" s="1697"/>
      <c r="T655" s="46"/>
      <c r="U655" s="16" t="s">
        <v>416</v>
      </c>
      <c r="Z655" s="1697" t="s">
        <v>2351</v>
      </c>
      <c r="AA655" s="1697"/>
      <c r="AB655" s="1697"/>
      <c r="AC655" s="1697"/>
      <c r="AD655" s="1697"/>
      <c r="AE655" s="1697"/>
      <c r="AF655" s="1697"/>
      <c r="AG655" s="1697"/>
      <c r="AH655" s="1697"/>
      <c r="AI655" s="1697"/>
      <c r="AJ655" s="1697"/>
      <c r="AK655" s="169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1705" t="s">
        <v>2336</v>
      </c>
      <c r="H656" s="1705"/>
      <c r="I656" s="1705"/>
      <c r="J656" s="1705"/>
      <c r="K656" s="1705"/>
      <c r="L656" s="1705"/>
      <c r="M656" s="1705"/>
      <c r="N656" s="1705"/>
      <c r="O656" s="1705"/>
      <c r="P656" s="1705"/>
      <c r="Q656" s="1705"/>
      <c r="R656" s="1705"/>
      <c r="T656" s="46"/>
      <c r="U656" s="16" t="s">
        <v>479</v>
      </c>
      <c r="Z656" s="1705" t="s">
        <v>448</v>
      </c>
      <c r="AA656" s="1705"/>
      <c r="AB656" s="1705"/>
      <c r="AC656" s="1705"/>
      <c r="AD656" s="1705"/>
      <c r="AE656" s="1705"/>
      <c r="AF656" s="1705"/>
      <c r="AG656" s="1705"/>
      <c r="AH656" s="1705"/>
      <c r="AI656" s="1705"/>
      <c r="AJ656" s="1705"/>
      <c r="AK656" s="1705"/>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915</v>
      </c>
      <c r="G657" s="1705" t="s">
        <v>2395</v>
      </c>
      <c r="H657" s="1705"/>
      <c r="I657" s="1705"/>
      <c r="J657" s="1705"/>
      <c r="K657" s="1705"/>
      <c r="L657" s="1705"/>
      <c r="M657" s="1705"/>
      <c r="N657" s="1705"/>
      <c r="O657" s="1705"/>
      <c r="P657" s="1705"/>
      <c r="Q657" s="1705"/>
      <c r="R657" s="1705"/>
      <c r="T657" s="46"/>
      <c r="U657" s="16" t="s">
        <v>915</v>
      </c>
      <c r="Z657" s="1705" t="s">
        <v>2353</v>
      </c>
      <c r="AA657" s="1705"/>
      <c r="AB657" s="1705"/>
      <c r="AC657" s="1705"/>
      <c r="AD657" s="1705"/>
      <c r="AE657" s="1705"/>
      <c r="AF657" s="1705"/>
      <c r="AG657" s="1705"/>
      <c r="AH657" s="1705"/>
      <c r="AI657" s="1705"/>
      <c r="AJ657" s="1705"/>
      <c r="AK657" s="1705"/>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716</v>
      </c>
      <c r="G658" s="1698" t="s">
        <v>2397</v>
      </c>
      <c r="H658" s="1699"/>
      <c r="I658" s="1699"/>
      <c r="J658" s="1699"/>
      <c r="K658" s="1699"/>
      <c r="L658" s="1699"/>
      <c r="O658" s="149" t="s">
        <v>900</v>
      </c>
      <c r="P658" s="1695"/>
      <c r="Q658" s="1695"/>
      <c r="R658" s="1695"/>
      <c r="T658" s="46"/>
      <c r="U658" s="16" t="s">
        <v>716</v>
      </c>
      <c r="Z658" s="1698" t="s">
        <v>2348</v>
      </c>
      <c r="AA658" s="1699"/>
      <c r="AB658" s="1699"/>
      <c r="AC658" s="1699"/>
      <c r="AD658" s="1699"/>
      <c r="AE658" s="1699"/>
      <c r="AH658" s="149" t="s">
        <v>900</v>
      </c>
      <c r="AI658" s="1695">
        <v>2200</v>
      </c>
      <c r="AJ658" s="1695"/>
      <c r="AK658" s="169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97" t="s">
        <v>2403</v>
      </c>
      <c r="I659" s="1697"/>
      <c r="J659" s="1697"/>
      <c r="K659" s="1697"/>
      <c r="L659" s="1697"/>
      <c r="M659" s="1697"/>
      <c r="N659" s="1697"/>
      <c r="O659" s="1697"/>
      <c r="P659" s="1697"/>
      <c r="Q659" s="1697"/>
      <c r="R659" s="1697"/>
      <c r="T659" s="46"/>
      <c r="U659" s="16" t="s">
        <v>916</v>
      </c>
      <c r="AA659" s="1697" t="s">
        <v>2403</v>
      </c>
      <c r="AB659" s="1697"/>
      <c r="AC659" s="1697"/>
      <c r="AD659" s="1697"/>
      <c r="AE659" s="1697"/>
      <c r="AF659" s="1697"/>
      <c r="AG659" s="1697"/>
      <c r="AH659" s="1697"/>
      <c r="AI659" s="1697"/>
      <c r="AJ659" s="1697"/>
      <c r="AK659" s="169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918</v>
      </c>
      <c r="N660" s="1696" t="s">
        <v>119</v>
      </c>
      <c r="O660" s="1696"/>
      <c r="T660" s="46"/>
      <c r="U660" s="16" t="s">
        <v>918</v>
      </c>
      <c r="AG660" s="1696" t="s">
        <v>119</v>
      </c>
      <c r="AH660" s="169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700" t="str">
        <f>C634</f>
        <v>LACDA / AHTF</v>
      </c>
      <c r="H662" s="1700"/>
      <c r="I662" s="1700"/>
      <c r="J662" s="1700"/>
      <c r="K662" s="1700"/>
      <c r="L662" s="1700"/>
      <c r="M662" s="1700"/>
      <c r="N662" s="1700"/>
      <c r="O662" s="1700"/>
      <c r="P662" s="1700"/>
      <c r="Q662" s="1700"/>
      <c r="R662" s="1700"/>
      <c r="T662" s="101" t="s">
        <v>483</v>
      </c>
      <c r="U662" s="16" t="s">
        <v>93</v>
      </c>
      <c r="Z662" s="1700">
        <f>C635</f>
        <v>0</v>
      </c>
      <c r="AA662" s="1700"/>
      <c r="AB662" s="1700"/>
      <c r="AC662" s="1700"/>
      <c r="AD662" s="1700"/>
      <c r="AE662" s="1700"/>
      <c r="AF662" s="1700"/>
      <c r="AG662" s="1700"/>
      <c r="AH662" s="1700"/>
      <c r="AI662" s="1700"/>
      <c r="AJ662" s="1700"/>
      <c r="AK662" s="17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697" t="s">
        <v>2405</v>
      </c>
      <c r="H663" s="1697"/>
      <c r="I663" s="1697"/>
      <c r="J663" s="1697"/>
      <c r="K663" s="1697"/>
      <c r="L663" s="1697"/>
      <c r="M663" s="1697"/>
      <c r="N663" s="1697"/>
      <c r="O663" s="1697"/>
      <c r="P663" s="1697"/>
      <c r="Q663" s="1697"/>
      <c r="R663" s="1697"/>
      <c r="T663" s="46"/>
      <c r="U663" s="16" t="s">
        <v>416</v>
      </c>
      <c r="Z663" s="1697"/>
      <c r="AA663" s="1697"/>
      <c r="AB663" s="1697"/>
      <c r="AC663" s="1697"/>
      <c r="AD663" s="1697"/>
      <c r="AE663" s="1697"/>
      <c r="AF663" s="1697"/>
      <c r="AG663" s="1697"/>
      <c r="AH663" s="1697"/>
      <c r="AI663" s="1697"/>
      <c r="AJ663" s="1697"/>
      <c r="AK663" s="169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697" t="s">
        <v>2406</v>
      </c>
      <c r="H664" s="1697"/>
      <c r="I664" s="1697"/>
      <c r="J664" s="1697"/>
      <c r="K664" s="1697"/>
      <c r="L664" s="1697"/>
      <c r="M664" s="1697"/>
      <c r="N664" s="1697"/>
      <c r="O664" s="1697"/>
      <c r="P664" s="1697"/>
      <c r="Q664" s="1697"/>
      <c r="R664" s="1697"/>
      <c r="T664" s="46"/>
      <c r="U664" s="16" t="s">
        <v>479</v>
      </c>
      <c r="Z664" s="1705"/>
      <c r="AA664" s="1705"/>
      <c r="AB664" s="1705"/>
      <c r="AC664" s="1705"/>
      <c r="AD664" s="1705"/>
      <c r="AE664" s="1705"/>
      <c r="AF664" s="1705"/>
      <c r="AG664" s="1705"/>
      <c r="AH664" s="1705"/>
      <c r="AI664" s="1705"/>
      <c r="AJ664" s="1705"/>
      <c r="AK664" s="170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915</v>
      </c>
      <c r="G665" s="1957" t="s">
        <v>2468</v>
      </c>
      <c r="H665" s="1697"/>
      <c r="I665" s="1697"/>
      <c r="J665" s="1697"/>
      <c r="K665" s="1697"/>
      <c r="L665" s="1697"/>
      <c r="M665" s="1697"/>
      <c r="N665" s="1697"/>
      <c r="O665" s="1697"/>
      <c r="P665" s="1697"/>
      <c r="Q665" s="1697"/>
      <c r="R665" s="1697"/>
      <c r="T665" s="46"/>
      <c r="U665" s="16" t="s">
        <v>915</v>
      </c>
      <c r="Z665" s="1705"/>
      <c r="AA665" s="1705"/>
      <c r="AB665" s="1705"/>
      <c r="AC665" s="1705"/>
      <c r="AD665" s="1705"/>
      <c r="AE665" s="1705"/>
      <c r="AF665" s="1705"/>
      <c r="AG665" s="1705"/>
      <c r="AH665" s="1705"/>
      <c r="AI665" s="1705"/>
      <c r="AJ665" s="1705"/>
      <c r="AK665" s="17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716</v>
      </c>
      <c r="G666" s="1698" t="s">
        <v>2407</v>
      </c>
      <c r="H666" s="1699"/>
      <c r="I666" s="1699"/>
      <c r="J666" s="1699"/>
      <c r="K666" s="1699"/>
      <c r="L666" s="1699"/>
      <c r="O666" s="149" t="s">
        <v>900</v>
      </c>
      <c r="P666" s="1695"/>
      <c r="Q666" s="1695"/>
      <c r="R666" s="1695"/>
      <c r="T666" s="46"/>
      <c r="U666" s="16" t="s">
        <v>716</v>
      </c>
      <c r="Z666" s="1699"/>
      <c r="AA666" s="1699"/>
      <c r="AB666" s="1699"/>
      <c r="AC666" s="1699"/>
      <c r="AD666" s="1699"/>
      <c r="AE666" s="1699"/>
      <c r="AH666" s="149" t="s">
        <v>900</v>
      </c>
      <c r="AI666" s="1695"/>
      <c r="AJ666" s="1695"/>
      <c r="AK666" s="169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916</v>
      </c>
      <c r="H667" s="1697" t="s">
        <v>2403</v>
      </c>
      <c r="I667" s="1697"/>
      <c r="J667" s="1697"/>
      <c r="K667" s="1697"/>
      <c r="L667" s="1697"/>
      <c r="M667" s="1697"/>
      <c r="N667" s="1697"/>
      <c r="O667" s="1697"/>
      <c r="P667" s="1697"/>
      <c r="Q667" s="1697"/>
      <c r="R667" s="1697"/>
      <c r="T667" s="46"/>
      <c r="U667" s="16" t="s">
        <v>916</v>
      </c>
      <c r="AA667" s="1697"/>
      <c r="AB667" s="1697"/>
      <c r="AC667" s="1697"/>
      <c r="AD667" s="1697"/>
      <c r="AE667" s="1697"/>
      <c r="AF667" s="1697"/>
      <c r="AG667" s="1697"/>
      <c r="AH667" s="1697"/>
      <c r="AI667" s="1697"/>
      <c r="AJ667" s="1697"/>
      <c r="AK667" s="169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918</v>
      </c>
      <c r="N668" s="1696" t="s">
        <v>119</v>
      </c>
      <c r="O668" s="1696"/>
      <c r="T668" s="46"/>
      <c r="U668" s="16" t="s">
        <v>918</v>
      </c>
      <c r="AG668" s="1696" t="s">
        <v>531</v>
      </c>
      <c r="AH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700">
        <f>C636</f>
        <v>0</v>
      </c>
      <c r="H670" s="1700"/>
      <c r="I670" s="1700"/>
      <c r="J670" s="1700"/>
      <c r="K670" s="1700"/>
      <c r="L670" s="1700"/>
      <c r="M670" s="1700"/>
      <c r="N670" s="1700"/>
      <c r="O670" s="1700"/>
      <c r="P670" s="1700"/>
      <c r="Q670" s="1700"/>
      <c r="R670" s="1700"/>
      <c r="T670" s="101" t="s">
        <v>811</v>
      </c>
      <c r="U670" s="16" t="s">
        <v>93</v>
      </c>
      <c r="Z670" s="1700">
        <f>C637</f>
        <v>0</v>
      </c>
      <c r="AA670" s="1700"/>
      <c r="AB670" s="1700"/>
      <c r="AC670" s="1700"/>
      <c r="AD670" s="1700"/>
      <c r="AE670" s="1700"/>
      <c r="AF670" s="1700"/>
      <c r="AG670" s="1700"/>
      <c r="AH670" s="1700"/>
      <c r="AI670" s="1700"/>
      <c r="AJ670" s="1700"/>
      <c r="AK670" s="170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697"/>
      <c r="H671" s="1697"/>
      <c r="I671" s="1697"/>
      <c r="J671" s="1697"/>
      <c r="K671" s="1697"/>
      <c r="L671" s="1697"/>
      <c r="M671" s="1697"/>
      <c r="N671" s="1697"/>
      <c r="O671" s="1697"/>
      <c r="P671" s="1697"/>
      <c r="Q671" s="1697"/>
      <c r="R671" s="1697"/>
      <c r="T671" s="46"/>
      <c r="U671" s="16" t="s">
        <v>416</v>
      </c>
      <c r="Z671" s="1697"/>
      <c r="AA671" s="1697"/>
      <c r="AB671" s="1697"/>
      <c r="AC671" s="1697"/>
      <c r="AD671" s="1697"/>
      <c r="AE671" s="1697"/>
      <c r="AF671" s="1697"/>
      <c r="AG671" s="1697"/>
      <c r="AH671" s="1697"/>
      <c r="AI671" s="1697"/>
      <c r="AJ671" s="1697"/>
      <c r="AK671" s="169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697"/>
      <c r="H672" s="1697"/>
      <c r="I672" s="1697"/>
      <c r="J672" s="1697"/>
      <c r="K672" s="1697"/>
      <c r="L672" s="1697"/>
      <c r="M672" s="1697"/>
      <c r="N672" s="1697"/>
      <c r="O672" s="1697"/>
      <c r="P672" s="1697"/>
      <c r="Q672" s="1697"/>
      <c r="R672" s="1697"/>
      <c r="T672" s="46"/>
      <c r="U672" s="16" t="s">
        <v>479</v>
      </c>
      <c r="Z672" s="1705"/>
      <c r="AA672" s="1705"/>
      <c r="AB672" s="1705"/>
      <c r="AC672" s="1705"/>
      <c r="AD672" s="1705"/>
      <c r="AE672" s="1705"/>
      <c r="AF672" s="1705"/>
      <c r="AG672" s="1705"/>
      <c r="AH672" s="1705"/>
      <c r="AI672" s="1705"/>
      <c r="AJ672" s="1705"/>
      <c r="AK672" s="170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915</v>
      </c>
      <c r="G673" s="1697"/>
      <c r="H673" s="1697"/>
      <c r="I673" s="1697"/>
      <c r="J673" s="1697"/>
      <c r="K673" s="1697"/>
      <c r="L673" s="1697"/>
      <c r="M673" s="1697"/>
      <c r="N673" s="1697"/>
      <c r="O673" s="1697"/>
      <c r="P673" s="1697"/>
      <c r="Q673" s="1697"/>
      <c r="R673" s="1697"/>
      <c r="T673" s="46"/>
      <c r="U673" s="16" t="s">
        <v>915</v>
      </c>
      <c r="Z673" s="1705"/>
      <c r="AA673" s="1705"/>
      <c r="AB673" s="1705"/>
      <c r="AC673" s="1705"/>
      <c r="AD673" s="1705"/>
      <c r="AE673" s="1705"/>
      <c r="AF673" s="1705"/>
      <c r="AG673" s="1705"/>
      <c r="AH673" s="1705"/>
      <c r="AI673" s="1705"/>
      <c r="AJ673" s="1705"/>
      <c r="AK673" s="170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716</v>
      </c>
      <c r="G674" s="1699"/>
      <c r="H674" s="1699"/>
      <c r="I674" s="1699"/>
      <c r="J674" s="1699"/>
      <c r="K674" s="1699"/>
      <c r="L674" s="1699"/>
      <c r="O674" s="149" t="s">
        <v>900</v>
      </c>
      <c r="P674" s="1695"/>
      <c r="Q674" s="1695"/>
      <c r="R674" s="1695"/>
      <c r="T674" s="46"/>
      <c r="U674" s="16" t="s">
        <v>716</v>
      </c>
      <c r="Z674" s="1699"/>
      <c r="AA674" s="1699"/>
      <c r="AB674" s="1699"/>
      <c r="AC674" s="1699"/>
      <c r="AD674" s="1699"/>
      <c r="AE674" s="1699"/>
      <c r="AH674" s="149" t="s">
        <v>900</v>
      </c>
      <c r="AI674" s="1695"/>
      <c r="AJ674" s="1695"/>
      <c r="AK674" s="169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916</v>
      </c>
      <c r="H675" s="1697"/>
      <c r="I675" s="1697"/>
      <c r="J675" s="1697"/>
      <c r="K675" s="1697"/>
      <c r="L675" s="1697"/>
      <c r="M675" s="1697"/>
      <c r="N675" s="1697"/>
      <c r="O675" s="1697"/>
      <c r="P675" s="1697"/>
      <c r="Q675" s="1697"/>
      <c r="R675" s="1697"/>
      <c r="T675" s="46"/>
      <c r="U675" s="16" t="s">
        <v>916</v>
      </c>
      <c r="AA675" s="1697"/>
      <c r="AB675" s="1697"/>
      <c r="AC675" s="1697"/>
      <c r="AD675" s="1697"/>
      <c r="AE675" s="1697"/>
      <c r="AF675" s="1697"/>
      <c r="AG675" s="1697"/>
      <c r="AH675" s="1697"/>
      <c r="AI675" s="1697"/>
      <c r="AJ675" s="1697"/>
      <c r="AK675" s="169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918</v>
      </c>
      <c r="N676" s="1696" t="s">
        <v>531</v>
      </c>
      <c r="O676" s="1696"/>
      <c r="T676" s="46"/>
      <c r="U676" s="16" t="s">
        <v>918</v>
      </c>
      <c r="AG676" s="1696" t="s">
        <v>531</v>
      </c>
      <c r="AH676" s="169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700">
        <f>C638</f>
        <v>0</v>
      </c>
      <c r="H678" s="1700"/>
      <c r="I678" s="1700"/>
      <c r="J678" s="1700"/>
      <c r="K678" s="1700"/>
      <c r="L678" s="1700"/>
      <c r="M678" s="1700"/>
      <c r="N678" s="1700"/>
      <c r="O678" s="1700"/>
      <c r="P678" s="1700"/>
      <c r="Q678" s="1700"/>
      <c r="R678" s="1700"/>
      <c r="T678" s="101" t="s">
        <v>191</v>
      </c>
      <c r="U678" s="16" t="s">
        <v>93</v>
      </c>
      <c r="Z678" s="1700">
        <f>C639</f>
        <v>0</v>
      </c>
      <c r="AA678" s="1700"/>
      <c r="AB678" s="1700"/>
      <c r="AC678" s="1700"/>
      <c r="AD678" s="1700"/>
      <c r="AE678" s="1700"/>
      <c r="AF678" s="1700"/>
      <c r="AG678" s="1700"/>
      <c r="AH678" s="1700"/>
      <c r="AI678" s="1700"/>
      <c r="AJ678" s="1700"/>
      <c r="AK678" s="170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97"/>
      <c r="H679" s="1697"/>
      <c r="I679" s="1697"/>
      <c r="J679" s="1697"/>
      <c r="K679" s="1697"/>
      <c r="L679" s="1697"/>
      <c r="M679" s="1697"/>
      <c r="N679" s="1697"/>
      <c r="O679" s="1697"/>
      <c r="P679" s="1697"/>
      <c r="Q679" s="1697"/>
      <c r="R679" s="1697"/>
      <c r="T679" s="46"/>
      <c r="U679" s="16" t="s">
        <v>416</v>
      </c>
      <c r="Z679" s="1697"/>
      <c r="AA679" s="1697"/>
      <c r="AB679" s="1697"/>
      <c r="AC679" s="1697"/>
      <c r="AD679" s="1697"/>
      <c r="AE679" s="1697"/>
      <c r="AF679" s="1697"/>
      <c r="AG679" s="1697"/>
      <c r="AH679" s="1697"/>
      <c r="AI679" s="1697"/>
      <c r="AJ679" s="1697"/>
      <c r="AK679" s="169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97"/>
      <c r="H680" s="1697"/>
      <c r="I680" s="1697"/>
      <c r="J680" s="1697"/>
      <c r="K680" s="1697"/>
      <c r="L680" s="1697"/>
      <c r="M680" s="1697"/>
      <c r="N680" s="1697"/>
      <c r="O680" s="1697"/>
      <c r="P680" s="1697"/>
      <c r="Q680" s="1697"/>
      <c r="R680" s="1697"/>
      <c r="T680" s="46"/>
      <c r="U680" s="16" t="s">
        <v>479</v>
      </c>
      <c r="Z680" s="1705"/>
      <c r="AA680" s="1705"/>
      <c r="AB680" s="1705"/>
      <c r="AC680" s="1705"/>
      <c r="AD680" s="1705"/>
      <c r="AE680" s="1705"/>
      <c r="AF680" s="1705"/>
      <c r="AG680" s="1705"/>
      <c r="AH680" s="1705"/>
      <c r="AI680" s="1705"/>
      <c r="AJ680" s="1705"/>
      <c r="AK680" s="170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97"/>
      <c r="H681" s="1697"/>
      <c r="I681" s="1697"/>
      <c r="J681" s="1697"/>
      <c r="K681" s="1697"/>
      <c r="L681" s="1697"/>
      <c r="M681" s="1697"/>
      <c r="N681" s="1697"/>
      <c r="O681" s="1697"/>
      <c r="P681" s="1697"/>
      <c r="Q681" s="1697"/>
      <c r="R681" s="1697"/>
      <c r="T681" s="46"/>
      <c r="U681" s="16" t="s">
        <v>915</v>
      </c>
      <c r="Z681" s="1705"/>
      <c r="AA681" s="1705"/>
      <c r="AB681" s="1705"/>
      <c r="AC681" s="1705"/>
      <c r="AD681" s="1705"/>
      <c r="AE681" s="1705"/>
      <c r="AF681" s="1705"/>
      <c r="AG681" s="1705"/>
      <c r="AH681" s="1705"/>
      <c r="AI681" s="1705"/>
      <c r="AJ681" s="1705"/>
      <c r="AK681" s="170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99"/>
      <c r="H682" s="1699"/>
      <c r="I682" s="1699"/>
      <c r="J682" s="1699"/>
      <c r="K682" s="1699"/>
      <c r="L682" s="1699"/>
      <c r="O682" s="149" t="s">
        <v>900</v>
      </c>
      <c r="P682" s="1695"/>
      <c r="Q682" s="1695"/>
      <c r="R682" s="1695"/>
      <c r="T682" s="46"/>
      <c r="U682" s="16" t="s">
        <v>716</v>
      </c>
      <c r="Z682" s="1699"/>
      <c r="AA682" s="1699"/>
      <c r="AB682" s="1699"/>
      <c r="AC682" s="1699"/>
      <c r="AD682" s="1699"/>
      <c r="AE682" s="1699"/>
      <c r="AH682" s="149" t="s">
        <v>900</v>
      </c>
      <c r="AI682" s="1695"/>
      <c r="AJ682" s="1695"/>
      <c r="AK682" s="169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916</v>
      </c>
      <c r="H683" s="1697"/>
      <c r="I683" s="1697"/>
      <c r="J683" s="1697"/>
      <c r="K683" s="1697"/>
      <c r="L683" s="1697"/>
      <c r="M683" s="1697"/>
      <c r="N683" s="1697"/>
      <c r="O683" s="1697"/>
      <c r="P683" s="1697"/>
      <c r="Q683" s="1697"/>
      <c r="R683" s="1697"/>
      <c r="T683" s="46"/>
      <c r="U683" s="16" t="s">
        <v>916</v>
      </c>
      <c r="AA683" s="1697"/>
      <c r="AB683" s="1697"/>
      <c r="AC683" s="1697"/>
      <c r="AD683" s="1697"/>
      <c r="AE683" s="1697"/>
      <c r="AF683" s="1697"/>
      <c r="AG683" s="1697"/>
      <c r="AH683" s="1697"/>
      <c r="AI683" s="1697"/>
      <c r="AJ683" s="1697"/>
      <c r="AK683" s="1697"/>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96" t="s">
        <v>531</v>
      </c>
      <c r="O684" s="1696"/>
      <c r="T684" s="46"/>
      <c r="U684" s="16" t="s">
        <v>918</v>
      </c>
      <c r="AG684" s="1696" t="s">
        <v>531</v>
      </c>
      <c r="AH684" s="169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700">
        <f>C640</f>
        <v>0</v>
      </c>
      <c r="H686" s="1700"/>
      <c r="I686" s="1700"/>
      <c r="J686" s="1700"/>
      <c r="K686" s="1700"/>
      <c r="L686" s="1700"/>
      <c r="M686" s="1700"/>
      <c r="N686" s="1700"/>
      <c r="O686" s="1700"/>
      <c r="P686" s="1700"/>
      <c r="Q686" s="1700"/>
      <c r="R686" s="1700"/>
      <c r="T686" s="101" t="s">
        <v>38</v>
      </c>
      <c r="U686" s="16" t="s">
        <v>93</v>
      </c>
      <c r="Z686" s="1700">
        <f>C641</f>
        <v>0</v>
      </c>
      <c r="AA686" s="1700"/>
      <c r="AB686" s="1700"/>
      <c r="AC686" s="1700"/>
      <c r="AD686" s="1700"/>
      <c r="AE686" s="1700"/>
      <c r="AF686" s="1700"/>
      <c r="AG686" s="1700"/>
      <c r="AH686" s="1700"/>
      <c r="AI686" s="1700"/>
      <c r="AJ686" s="1700"/>
      <c r="AK686" s="1700"/>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697"/>
      <c r="H687" s="1697"/>
      <c r="I687" s="1697"/>
      <c r="J687" s="1697"/>
      <c r="K687" s="1697"/>
      <c r="L687" s="1697"/>
      <c r="M687" s="1697"/>
      <c r="N687" s="1697"/>
      <c r="O687" s="1697"/>
      <c r="P687" s="1697"/>
      <c r="Q687" s="1697"/>
      <c r="R687" s="1697"/>
      <c r="T687" s="46"/>
      <c r="U687" s="16" t="s">
        <v>416</v>
      </c>
      <c r="Z687" s="1697"/>
      <c r="AA687" s="1697"/>
      <c r="AB687" s="1697"/>
      <c r="AC687" s="1697"/>
      <c r="AD687" s="1697"/>
      <c r="AE687" s="1697"/>
      <c r="AF687" s="1697"/>
      <c r="AG687" s="1697"/>
      <c r="AH687" s="1697"/>
      <c r="AI687" s="1697"/>
      <c r="AJ687" s="1697"/>
      <c r="AK687" s="1697"/>
      <c r="AM687" s="75"/>
      <c r="BA687" s="75">
        <f t="shared" ref="BA687:BA711" si="22">IF($G704=0,"N/A",VLOOKUP($T$189,TC_Rent,(MATCH($B704,bedrooms,FALSE))))</f>
        <v>2112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697"/>
      <c r="H688" s="1697"/>
      <c r="I688" s="1697"/>
      <c r="J688" s="1697"/>
      <c r="K688" s="1697"/>
      <c r="L688" s="1697"/>
      <c r="M688" s="1697"/>
      <c r="N688" s="1697"/>
      <c r="O688" s="1697"/>
      <c r="P688" s="1697"/>
      <c r="Q688" s="1697"/>
      <c r="R688" s="1697"/>
      <c r="U688" s="16" t="s">
        <v>479</v>
      </c>
      <c r="Z688" s="1705"/>
      <c r="AA688" s="1705"/>
      <c r="AB688" s="1705"/>
      <c r="AC688" s="1705"/>
      <c r="AD688" s="1705"/>
      <c r="AE688" s="1705"/>
      <c r="AF688" s="1705"/>
      <c r="AG688" s="1705"/>
      <c r="AH688" s="1705"/>
      <c r="AI688" s="1705"/>
      <c r="AJ688" s="1705"/>
      <c r="AK688" s="1705"/>
      <c r="AM688" s="75"/>
      <c r="BA688" s="75">
        <f t="shared" si="22"/>
        <v>2112</v>
      </c>
      <c r="BB688" s="75"/>
      <c r="BC688" s="75"/>
      <c r="BD688" s="75"/>
      <c r="BE688" s="75"/>
      <c r="BF688" s="75"/>
      <c r="BG688" s="703">
        <f t="shared" ref="BG688:BG712" si="23">G704</f>
        <v>13</v>
      </c>
      <c r="BH688" s="716">
        <f t="shared" ref="BH688:BH712" si="24">BG688/$BG$713</f>
        <v>0.20967741935483872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915</v>
      </c>
      <c r="G689" s="1697"/>
      <c r="H689" s="1697"/>
      <c r="I689" s="1697"/>
      <c r="J689" s="1697"/>
      <c r="K689" s="1697"/>
      <c r="L689" s="1697"/>
      <c r="M689" s="1697"/>
      <c r="N689" s="1697"/>
      <c r="O689" s="1697"/>
      <c r="P689" s="1697"/>
      <c r="Q689" s="1697"/>
      <c r="R689" s="1697"/>
      <c r="U689" s="16" t="s">
        <v>915</v>
      </c>
      <c r="Z689" s="1705"/>
      <c r="AA689" s="1705"/>
      <c r="AB689" s="1705"/>
      <c r="AC689" s="1705"/>
      <c r="AD689" s="1705"/>
      <c r="AE689" s="1705"/>
      <c r="AF689" s="1705"/>
      <c r="AG689" s="1705"/>
      <c r="AH689" s="1705"/>
      <c r="AI689" s="1705"/>
      <c r="AJ689" s="1705"/>
      <c r="AK689" s="1705"/>
      <c r="AM689" s="75"/>
      <c r="BA689" s="75">
        <f t="shared" si="22"/>
        <v>2112</v>
      </c>
      <c r="BB689" s="75"/>
      <c r="BC689" s="75"/>
      <c r="BD689" s="75"/>
      <c r="BE689" s="75"/>
      <c r="BF689" s="75"/>
      <c r="BG689" s="704">
        <f t="shared" si="23"/>
        <v>12</v>
      </c>
      <c r="BH689" s="716">
        <f t="shared" si="24"/>
        <v>0.19354838709677419</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99"/>
      <c r="H690" s="1699"/>
      <c r="I690" s="1699"/>
      <c r="J690" s="1699"/>
      <c r="K690" s="1699"/>
      <c r="L690" s="1699"/>
      <c r="O690" s="149" t="s">
        <v>900</v>
      </c>
      <c r="P690" s="1695"/>
      <c r="Q690" s="1695"/>
      <c r="R690" s="1695"/>
      <c r="U690" s="16" t="s">
        <v>716</v>
      </c>
      <c r="Z690" s="1699"/>
      <c r="AA690" s="1699"/>
      <c r="AB690" s="1699"/>
      <c r="AC690" s="1699"/>
      <c r="AD690" s="1699"/>
      <c r="AE690" s="1699"/>
      <c r="AH690" s="149" t="s">
        <v>900</v>
      </c>
      <c r="AI690" s="1695"/>
      <c r="AJ690" s="1695"/>
      <c r="AK690" s="1695"/>
      <c r="AM690" s="75"/>
      <c r="BA690" s="75">
        <f t="shared" si="22"/>
        <v>2534</v>
      </c>
      <c r="BB690" s="72"/>
      <c r="BC690" s="72"/>
      <c r="BD690" s="72"/>
      <c r="BE690" s="72"/>
      <c r="BF690" s="72"/>
      <c r="BG690" s="704">
        <f t="shared" si="23"/>
        <v>2</v>
      </c>
      <c r="BH690" s="716">
        <f t="shared" si="24"/>
        <v>3.2258064516129031E-2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97"/>
      <c r="I691" s="1697"/>
      <c r="J691" s="1697"/>
      <c r="K691" s="1697"/>
      <c r="L691" s="1697"/>
      <c r="M691" s="1697"/>
      <c r="N691" s="1697"/>
      <c r="O691" s="1697"/>
      <c r="P691" s="1697"/>
      <c r="Q691" s="1697"/>
      <c r="R691" s="1697"/>
      <c r="U691" s="16" t="s">
        <v>916</v>
      </c>
      <c r="AA691" s="1697"/>
      <c r="AB691" s="1697"/>
      <c r="AC691" s="1697"/>
      <c r="AD691" s="1697"/>
      <c r="AE691" s="1697"/>
      <c r="AF691" s="1697"/>
      <c r="AG691" s="1697"/>
      <c r="AH691" s="1697"/>
      <c r="AI691" s="1697"/>
      <c r="AJ691" s="1697"/>
      <c r="AK691" s="1697"/>
      <c r="AM691" s="72"/>
      <c r="BA691" s="75">
        <f t="shared" si="22"/>
        <v>2534</v>
      </c>
      <c r="BB691" s="72"/>
      <c r="BC691" s="72"/>
      <c r="BD691" s="72"/>
      <c r="BE691" s="72"/>
      <c r="BF691" s="72"/>
      <c r="BG691" s="704">
        <f t="shared" si="23"/>
        <v>3</v>
      </c>
      <c r="BH691" s="716">
        <f t="shared" si="24"/>
        <v>4.8387096774193547E-2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918</v>
      </c>
      <c r="N692" s="1696" t="s">
        <v>531</v>
      </c>
      <c r="O692" s="1696"/>
      <c r="U692" s="16" t="s">
        <v>918</v>
      </c>
      <c r="AG692" s="1696" t="s">
        <v>531</v>
      </c>
      <c r="AH692" s="1696"/>
      <c r="AM692" s="72"/>
      <c r="BA692" s="75">
        <f t="shared" si="22"/>
        <v>2928</v>
      </c>
      <c r="BB692" s="72"/>
      <c r="BC692" s="72"/>
      <c r="BD692" s="72"/>
      <c r="BE692" s="72"/>
      <c r="BF692" s="72"/>
      <c r="BG692" s="704">
        <f t="shared" si="23"/>
        <v>13</v>
      </c>
      <c r="BH692" s="716">
        <f t="shared" si="24"/>
        <v>0.20967741935483872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f t="shared" si="22"/>
        <v>2928</v>
      </c>
      <c r="BB693" s="72"/>
      <c r="BC693" s="72"/>
      <c r="BD693" s="72"/>
      <c r="BE693" s="72"/>
      <c r="BF693" s="72"/>
      <c r="BG693" s="704">
        <f t="shared" si="23"/>
        <v>3</v>
      </c>
      <c r="BH693" s="716">
        <f t="shared" si="24"/>
        <v>4.8387096774193547E-2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t="str">
        <f t="shared" si="22"/>
        <v>N/A</v>
      </c>
      <c r="BB694" s="72"/>
      <c r="BC694" s="72"/>
      <c r="BD694" s="72"/>
      <c r="BE694" s="72"/>
      <c r="BF694" s="72"/>
      <c r="BG694" s="704">
        <f t="shared" si="23"/>
        <v>16</v>
      </c>
      <c r="BH694" s="716">
        <f t="shared" si="24"/>
        <v>0.25806451612903225</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701" t="s">
        <v>139</v>
      </c>
      <c r="B695" s="1701"/>
      <c r="C695" s="1701"/>
      <c r="D695" s="1701"/>
      <c r="E695" s="1701"/>
      <c r="F695" s="1701"/>
      <c r="G695" s="1701"/>
      <c r="H695" s="1701"/>
      <c r="I695" s="1701"/>
      <c r="J695" s="1701"/>
      <c r="K695" s="1701"/>
      <c r="L695" s="1701"/>
      <c r="M695" s="1701"/>
      <c r="N695" s="1701"/>
      <c r="O695" s="1701"/>
      <c r="P695" s="1701"/>
      <c r="Q695" s="1701"/>
      <c r="R695" s="1701"/>
      <c r="S695" s="1701"/>
      <c r="T695" s="1701"/>
      <c r="U695" s="1701"/>
      <c r="V695" s="1701"/>
      <c r="W695" s="1701"/>
      <c r="X695" s="1701"/>
      <c r="Y695" s="1701"/>
      <c r="Z695" s="1701"/>
      <c r="AA695" s="1701"/>
      <c r="AB695" s="1701"/>
      <c r="AC695" s="1701"/>
      <c r="AD695" s="1701"/>
      <c r="AE695" s="1701"/>
      <c r="AF695" s="1701"/>
      <c r="AG695" s="1701"/>
      <c r="AH695" s="1701"/>
      <c r="AI695" s="1701"/>
      <c r="AJ695" s="1701"/>
      <c r="AK695" s="1701"/>
      <c r="AL695" s="1701"/>
      <c r="AM695" s="1701"/>
      <c r="AN695" s="1701"/>
      <c r="AO695" s="1701"/>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701"/>
      <c r="B696" s="1701"/>
      <c r="C696" s="1701"/>
      <c r="D696" s="1701"/>
      <c r="E696" s="1701"/>
      <c r="F696" s="1701"/>
      <c r="G696" s="1701"/>
      <c r="H696" s="1701"/>
      <c r="I696" s="1701"/>
      <c r="J696" s="1701"/>
      <c r="K696" s="1701"/>
      <c r="L696" s="1701"/>
      <c r="M696" s="1701"/>
      <c r="N696" s="1701"/>
      <c r="O696" s="1701"/>
      <c r="P696" s="1701"/>
      <c r="Q696" s="1701"/>
      <c r="R696" s="1701"/>
      <c r="S696" s="1701"/>
      <c r="T696" s="1701"/>
      <c r="U696" s="1701"/>
      <c r="V696" s="1701"/>
      <c r="W696" s="1701"/>
      <c r="X696" s="1701"/>
      <c r="Y696" s="1701"/>
      <c r="Z696" s="1701"/>
      <c r="AA696" s="1701"/>
      <c r="AB696" s="1701"/>
      <c r="AC696" s="1701"/>
      <c r="AD696" s="1701"/>
      <c r="AE696" s="1701"/>
      <c r="AF696" s="1701"/>
      <c r="AG696" s="1701"/>
      <c r="AH696" s="1701"/>
      <c r="AI696" s="1701"/>
      <c r="AJ696" s="1701"/>
      <c r="AK696" s="1701"/>
      <c r="AL696" s="1701"/>
      <c r="AM696" s="1701"/>
      <c r="AN696" s="1701"/>
      <c r="AO696" s="1701"/>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1"/>
      <c r="B697" s="1701"/>
      <c r="C697" s="1701"/>
      <c r="D697" s="1701"/>
      <c r="E697" s="1701"/>
      <c r="F697" s="1701"/>
      <c r="G697" s="1701"/>
      <c r="H697" s="1701"/>
      <c r="I697" s="1701"/>
      <c r="J697" s="1701"/>
      <c r="K697" s="1701"/>
      <c r="L697" s="1701"/>
      <c r="M697" s="1701"/>
      <c r="N697" s="1701"/>
      <c r="O697" s="1701"/>
      <c r="P697" s="1701"/>
      <c r="Q697" s="1701"/>
      <c r="R697" s="1701"/>
      <c r="S697" s="1701"/>
      <c r="T697" s="1701"/>
      <c r="U697" s="1701"/>
      <c r="V697" s="1701"/>
      <c r="W697" s="1701"/>
      <c r="X697" s="1701"/>
      <c r="Y697" s="1701"/>
      <c r="Z697" s="1701"/>
      <c r="AA697" s="1701"/>
      <c r="AB697" s="1701"/>
      <c r="AC697" s="1701"/>
      <c r="AD697" s="1701"/>
      <c r="AE697" s="1701"/>
      <c r="AF697" s="1701"/>
      <c r="AG697" s="1701"/>
      <c r="AH697" s="1701"/>
      <c r="AI697" s="1701"/>
      <c r="AJ697" s="1701"/>
      <c r="AK697" s="1701"/>
      <c r="AL697" s="1701"/>
      <c r="AM697" s="1701"/>
      <c r="AN697" s="1701"/>
      <c r="AO697" s="1701"/>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719</v>
      </c>
      <c r="B698" s="116"/>
      <c r="C698" s="116" t="s">
        <v>917</v>
      </c>
      <c r="D698" s="1388"/>
      <c r="E698" s="1388"/>
      <c r="F698" s="1388"/>
      <c r="G698" s="1388"/>
      <c r="H698" s="1388"/>
      <c r="I698" s="1388"/>
      <c r="J698" s="1388"/>
      <c r="K698" s="1388"/>
      <c r="L698" s="1388"/>
      <c r="M698" s="1388"/>
      <c r="N698" s="1388"/>
      <c r="O698" s="1388"/>
      <c r="P698" s="1388"/>
      <c r="Q698" s="1388"/>
      <c r="R698" s="1388"/>
      <c r="S698" s="1388"/>
      <c r="T698" s="1388"/>
      <c r="U698" s="1388"/>
      <c r="V698" s="1388"/>
      <c r="W698" s="1388"/>
      <c r="X698" s="1388"/>
      <c r="Y698" s="1388"/>
      <c r="Z698" s="1388"/>
      <c r="AA698" s="1388"/>
      <c r="AB698" s="1388"/>
      <c r="AC698" s="1388"/>
      <c r="AD698" s="1388"/>
      <c r="AE698" s="1388"/>
      <c r="AF698" s="1388"/>
      <c r="AG698" s="1388"/>
      <c r="AH698" s="1388"/>
      <c r="AI698" s="1388"/>
      <c r="AJ698" s="1388"/>
      <c r="AK698" s="1388"/>
      <c r="AL698" s="1388"/>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46"/>
      <c r="C699" s="116"/>
      <c r="D699" s="1388"/>
      <c r="E699" s="1388"/>
      <c r="F699" s="1388"/>
      <c r="G699" s="1388"/>
      <c r="H699" s="1388"/>
      <c r="I699" s="1388"/>
      <c r="J699" s="1388"/>
      <c r="K699" s="1388"/>
      <c r="L699" s="1388"/>
      <c r="M699" s="1388"/>
      <c r="N699" s="1388"/>
      <c r="O699" s="1388"/>
      <c r="P699" s="1388"/>
      <c r="Q699" s="1388"/>
      <c r="R699" s="1388"/>
      <c r="S699" s="1388"/>
      <c r="T699" s="1388"/>
      <c r="U699" s="1388"/>
      <c r="V699" s="1388"/>
      <c r="W699" s="1388"/>
      <c r="X699" s="1388"/>
      <c r="Y699" s="1388"/>
      <c r="Z699" s="1388"/>
      <c r="AA699" s="1388"/>
      <c r="AB699" s="1388"/>
      <c r="AC699" s="1388"/>
      <c r="AD699" s="1388"/>
      <c r="AE699" s="1388"/>
      <c r="AF699" s="1388"/>
      <c r="AG699" s="1388"/>
      <c r="AH699" s="1388"/>
      <c r="AI699" s="1388"/>
      <c r="AJ699" s="1388"/>
      <c r="AK699" s="1388"/>
      <c r="AL699" s="1388"/>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8"/>
      <c r="B700" s="1683" t="s">
        <v>59</v>
      </c>
      <c r="C700" s="1684"/>
      <c r="D700" s="1684"/>
      <c r="E700" s="1684"/>
      <c r="F700" s="1685"/>
      <c r="G700" s="1683" t="s">
        <v>284</v>
      </c>
      <c r="H700" s="1684"/>
      <c r="I700" s="1684"/>
      <c r="J700" s="1685"/>
      <c r="K700" s="1674" t="s">
        <v>2297</v>
      </c>
      <c r="L700" s="1675"/>
      <c r="M700" s="1675"/>
      <c r="N700" s="1676"/>
      <c r="O700" s="1683" t="s">
        <v>655</v>
      </c>
      <c r="P700" s="1684"/>
      <c r="Q700" s="1684"/>
      <c r="R700" s="1684"/>
      <c r="S700" s="1685"/>
      <c r="T700" s="1683" t="s">
        <v>285</v>
      </c>
      <c r="U700" s="1684"/>
      <c r="V700" s="1684"/>
      <c r="W700" s="1684"/>
      <c r="X700" s="1685"/>
      <c r="Y700" s="1683" t="s">
        <v>286</v>
      </c>
      <c r="Z700" s="1684"/>
      <c r="AA700" s="1684"/>
      <c r="AB700" s="1685"/>
      <c r="AC700" s="1683" t="s">
        <v>287</v>
      </c>
      <c r="AD700" s="1684"/>
      <c r="AE700" s="1684"/>
      <c r="AF700" s="1684"/>
      <c r="AG700" s="1685"/>
      <c r="AH700" s="1683" t="s">
        <v>2298</v>
      </c>
      <c r="AI700" s="1684"/>
      <c r="AJ700" s="1684"/>
      <c r="AK700" s="1684"/>
      <c r="AL700" s="1685"/>
      <c r="AM700" s="1683" t="s">
        <v>2299</v>
      </c>
      <c r="AN700" s="1684"/>
      <c r="AO700" s="1685"/>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88"/>
      <c r="B701" s="1686"/>
      <c r="C701" s="1687"/>
      <c r="D701" s="1687"/>
      <c r="E701" s="1687"/>
      <c r="F701" s="1688"/>
      <c r="G701" s="1686"/>
      <c r="H701" s="1687"/>
      <c r="I701" s="1687"/>
      <c r="J701" s="1688"/>
      <c r="K701" s="1677"/>
      <c r="L701" s="1678"/>
      <c r="M701" s="1678"/>
      <c r="N701" s="1679"/>
      <c r="O701" s="1686"/>
      <c r="P701" s="1687"/>
      <c r="Q701" s="1687"/>
      <c r="R701" s="1687"/>
      <c r="S701" s="1688"/>
      <c r="T701" s="1686"/>
      <c r="U701" s="1687"/>
      <c r="V701" s="1687"/>
      <c r="W701" s="1687"/>
      <c r="X701" s="1688"/>
      <c r="Y701" s="1686"/>
      <c r="Z701" s="1687"/>
      <c r="AA701" s="1687"/>
      <c r="AB701" s="1688"/>
      <c r="AC701" s="1686"/>
      <c r="AD701" s="1687"/>
      <c r="AE701" s="1687"/>
      <c r="AF701" s="1687"/>
      <c r="AG701" s="1688"/>
      <c r="AH701" s="1686"/>
      <c r="AI701" s="1687"/>
      <c r="AJ701" s="1687"/>
      <c r="AK701" s="1687"/>
      <c r="AL701" s="1688"/>
      <c r="AM701" s="1686"/>
      <c r="AN701" s="1687"/>
      <c r="AO701" s="1688"/>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686"/>
      <c r="C702" s="1687"/>
      <c r="D702" s="1687"/>
      <c r="E702" s="1687"/>
      <c r="F702" s="1688"/>
      <c r="G702" s="1686"/>
      <c r="H702" s="1687"/>
      <c r="I702" s="1687"/>
      <c r="J702" s="1688"/>
      <c r="K702" s="1677"/>
      <c r="L702" s="1678"/>
      <c r="M702" s="1678"/>
      <c r="N702" s="1679"/>
      <c r="O702" s="1686"/>
      <c r="P702" s="1687"/>
      <c r="Q702" s="1687"/>
      <c r="R702" s="1687"/>
      <c r="S702" s="1688"/>
      <c r="T702" s="1686"/>
      <c r="U702" s="1687"/>
      <c r="V702" s="1687"/>
      <c r="W702" s="1687"/>
      <c r="X702" s="1688"/>
      <c r="Y702" s="1686"/>
      <c r="Z702" s="1687"/>
      <c r="AA702" s="1687"/>
      <c r="AB702" s="1688"/>
      <c r="AC702" s="1686"/>
      <c r="AD702" s="1687"/>
      <c r="AE702" s="1687"/>
      <c r="AF702" s="1687"/>
      <c r="AG702" s="1688"/>
      <c r="AH702" s="1686"/>
      <c r="AI702" s="1687"/>
      <c r="AJ702" s="1687"/>
      <c r="AK702" s="1687"/>
      <c r="AL702" s="1688"/>
      <c r="AM702" s="1686"/>
      <c r="AN702" s="1687"/>
      <c r="AO702" s="168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689"/>
      <c r="C703" s="1690"/>
      <c r="D703" s="1690"/>
      <c r="E703" s="1690"/>
      <c r="F703" s="1691"/>
      <c r="G703" s="1689"/>
      <c r="H703" s="1690"/>
      <c r="I703" s="1690"/>
      <c r="J703" s="1691"/>
      <c r="K703" s="1677"/>
      <c r="L703" s="1678"/>
      <c r="M703" s="1678"/>
      <c r="N703" s="1679"/>
      <c r="O703" s="1689"/>
      <c r="P703" s="1690"/>
      <c r="Q703" s="1690"/>
      <c r="R703" s="1690"/>
      <c r="S703" s="1691"/>
      <c r="T703" s="1689"/>
      <c r="U703" s="1690"/>
      <c r="V703" s="1690"/>
      <c r="W703" s="1690"/>
      <c r="X703" s="1691"/>
      <c r="Y703" s="1689"/>
      <c r="Z703" s="1690"/>
      <c r="AA703" s="1690"/>
      <c r="AB703" s="1691"/>
      <c r="AC703" s="1689"/>
      <c r="AD703" s="1690"/>
      <c r="AE703" s="1690"/>
      <c r="AF703" s="1690"/>
      <c r="AG703" s="1691"/>
      <c r="AH703" s="1689"/>
      <c r="AI703" s="1690"/>
      <c r="AJ703" s="1690"/>
      <c r="AK703" s="1690"/>
      <c r="AL703" s="1691"/>
      <c r="AM703" s="1689"/>
      <c r="AN703" s="1690"/>
      <c r="AO703" s="169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646" t="s">
        <v>491</v>
      </c>
      <c r="C704" s="1647"/>
      <c r="D704" s="1647"/>
      <c r="E704" s="1647"/>
      <c r="F704" s="1648"/>
      <c r="G704" s="1702">
        <v>13</v>
      </c>
      <c r="H704" s="1703"/>
      <c r="I704" s="1703"/>
      <c r="J704" s="1704"/>
      <c r="K704" s="1632">
        <v>610</v>
      </c>
      <c r="L704" s="1633"/>
      <c r="M704" s="1633"/>
      <c r="N704" s="1634"/>
      <c r="O704" s="1635">
        <v>565.6</v>
      </c>
      <c r="P704" s="1636"/>
      <c r="Q704" s="1636"/>
      <c r="R704" s="1636"/>
      <c r="S704" s="1637"/>
      <c r="T704" s="1638">
        <f t="shared" ref="T704:T728" si="26">G704*O704</f>
        <v>7352.8</v>
      </c>
      <c r="U704" s="1639"/>
      <c r="V704" s="1639"/>
      <c r="W704" s="1639"/>
      <c r="X704" s="1640"/>
      <c r="Y704" s="1635">
        <v>68</v>
      </c>
      <c r="Z704" s="1636"/>
      <c r="AA704" s="1636"/>
      <c r="AB704" s="1637"/>
      <c r="AC704" s="1638">
        <f t="shared" ref="AC704:AC728" si="27">O704+Y704</f>
        <v>633.6</v>
      </c>
      <c r="AD704" s="1639"/>
      <c r="AE704" s="1639"/>
      <c r="AF704" s="1639"/>
      <c r="AG704" s="1640"/>
      <c r="AH704" s="1692">
        <v>0.3</v>
      </c>
      <c r="AI704" s="1693"/>
      <c r="AJ704" s="1693"/>
      <c r="AK704" s="1693"/>
      <c r="AL704" s="1694"/>
      <c r="AM704" s="1668">
        <f>IF($AH704&gt;0,($AC704/$BA687), " ")</f>
        <v>0.3</v>
      </c>
      <c r="AN704" s="1669"/>
      <c r="AO704" s="167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646" t="s">
        <v>491</v>
      </c>
      <c r="C705" s="1647"/>
      <c r="D705" s="1647"/>
      <c r="E705" s="1647"/>
      <c r="F705" s="1648"/>
      <c r="G705" s="1702">
        <v>12</v>
      </c>
      <c r="H705" s="1703"/>
      <c r="I705" s="1703"/>
      <c r="J705" s="1704"/>
      <c r="K705" s="1632">
        <v>610</v>
      </c>
      <c r="L705" s="1633"/>
      <c r="M705" s="1633"/>
      <c r="N705" s="1634"/>
      <c r="O705" s="1635">
        <v>565.6</v>
      </c>
      <c r="P705" s="1636"/>
      <c r="Q705" s="1636"/>
      <c r="R705" s="1636"/>
      <c r="S705" s="1637"/>
      <c r="T705" s="1638">
        <f t="shared" si="26"/>
        <v>6787.2000000000007</v>
      </c>
      <c r="U705" s="1639"/>
      <c r="V705" s="1639"/>
      <c r="W705" s="1639"/>
      <c r="X705" s="1640"/>
      <c r="Y705" s="1635">
        <v>68</v>
      </c>
      <c r="Z705" s="1636"/>
      <c r="AA705" s="1636"/>
      <c r="AB705" s="1637"/>
      <c r="AC705" s="1638">
        <f t="shared" si="27"/>
        <v>633.6</v>
      </c>
      <c r="AD705" s="1639"/>
      <c r="AE705" s="1639"/>
      <c r="AF705" s="1639"/>
      <c r="AG705" s="1640"/>
      <c r="AH705" s="1692">
        <v>0.5</v>
      </c>
      <c r="AI705" s="1693"/>
      <c r="AJ705" s="1693"/>
      <c r="AK705" s="1693"/>
      <c r="AL705" s="1694"/>
      <c r="AM705" s="1668">
        <f t="shared" ref="AM705:AM728" si="28">IF($AH705&gt;0,($AC705/$BA688), " ")</f>
        <v>0.3</v>
      </c>
      <c r="AN705" s="1669"/>
      <c r="AO705" s="167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646" t="s">
        <v>491</v>
      </c>
      <c r="C706" s="1647"/>
      <c r="D706" s="1647"/>
      <c r="E706" s="1647"/>
      <c r="F706" s="1648"/>
      <c r="G706" s="1702">
        <v>2</v>
      </c>
      <c r="H706" s="1703"/>
      <c r="I706" s="1703"/>
      <c r="J706" s="1704"/>
      <c r="K706" s="1632">
        <v>610</v>
      </c>
      <c r="L706" s="1633"/>
      <c r="M706" s="1633"/>
      <c r="N706" s="1634"/>
      <c r="O706" s="1635">
        <v>1199.2</v>
      </c>
      <c r="P706" s="1636"/>
      <c r="Q706" s="1636"/>
      <c r="R706" s="1636"/>
      <c r="S706" s="1637"/>
      <c r="T706" s="1638">
        <f t="shared" si="26"/>
        <v>2398.4</v>
      </c>
      <c r="U706" s="1639"/>
      <c r="V706" s="1639"/>
      <c r="W706" s="1639"/>
      <c r="X706" s="1640"/>
      <c r="Y706" s="1635">
        <v>68</v>
      </c>
      <c r="Z706" s="1636"/>
      <c r="AA706" s="1636"/>
      <c r="AB706" s="1637"/>
      <c r="AC706" s="1638">
        <f t="shared" si="27"/>
        <v>1267.2</v>
      </c>
      <c r="AD706" s="1639"/>
      <c r="AE706" s="1639"/>
      <c r="AF706" s="1639"/>
      <c r="AG706" s="1640"/>
      <c r="AH706" s="1692">
        <v>0.6</v>
      </c>
      <c r="AI706" s="1693"/>
      <c r="AJ706" s="1693"/>
      <c r="AK706" s="1693"/>
      <c r="AL706" s="1694"/>
      <c r="AM706" s="1668">
        <f t="shared" si="28"/>
        <v>0.6</v>
      </c>
      <c r="AN706" s="1669"/>
      <c r="AO706" s="167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88"/>
      <c r="B707" s="1646" t="s">
        <v>853</v>
      </c>
      <c r="C707" s="1647"/>
      <c r="D707" s="1647"/>
      <c r="E707" s="1647"/>
      <c r="F707" s="1648"/>
      <c r="G707" s="1702">
        <v>3</v>
      </c>
      <c r="H707" s="1703"/>
      <c r="I707" s="1703"/>
      <c r="J707" s="1704"/>
      <c r="K707" s="1632">
        <v>828</v>
      </c>
      <c r="L707" s="1633"/>
      <c r="M707" s="1633"/>
      <c r="N707" s="1634"/>
      <c r="O707" s="1635">
        <v>674.2</v>
      </c>
      <c r="P707" s="1636"/>
      <c r="Q707" s="1636"/>
      <c r="R707" s="1636"/>
      <c r="S707" s="1637"/>
      <c r="T707" s="1638">
        <f t="shared" si="26"/>
        <v>2022.6000000000001</v>
      </c>
      <c r="U707" s="1639"/>
      <c r="V707" s="1639"/>
      <c r="W707" s="1639"/>
      <c r="X707" s="1640"/>
      <c r="Y707" s="1635">
        <v>86</v>
      </c>
      <c r="Z707" s="1636"/>
      <c r="AA707" s="1636"/>
      <c r="AB707" s="1637"/>
      <c r="AC707" s="1638">
        <f t="shared" si="27"/>
        <v>760.2</v>
      </c>
      <c r="AD707" s="1639"/>
      <c r="AE707" s="1639"/>
      <c r="AF707" s="1639"/>
      <c r="AG707" s="1640"/>
      <c r="AH707" s="1692">
        <v>0.3</v>
      </c>
      <c r="AI707" s="1693"/>
      <c r="AJ707" s="1693"/>
      <c r="AK707" s="1693"/>
      <c r="AL707" s="1694"/>
      <c r="AM707" s="1668">
        <f t="shared" si="28"/>
        <v>0.30000000000000004</v>
      </c>
      <c r="AN707" s="1669"/>
      <c r="AO707" s="167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88"/>
      <c r="B708" s="1646" t="s">
        <v>853</v>
      </c>
      <c r="C708" s="1647"/>
      <c r="D708" s="1647"/>
      <c r="E708" s="1647"/>
      <c r="F708" s="1648"/>
      <c r="G708" s="1702">
        <v>13</v>
      </c>
      <c r="H708" s="1703"/>
      <c r="I708" s="1703"/>
      <c r="J708" s="1704"/>
      <c r="K708" s="1632">
        <v>828</v>
      </c>
      <c r="L708" s="1633"/>
      <c r="M708" s="1633"/>
      <c r="N708" s="1634"/>
      <c r="O708" s="1635">
        <v>1434.4</v>
      </c>
      <c r="P708" s="1636"/>
      <c r="Q708" s="1636"/>
      <c r="R708" s="1636"/>
      <c r="S708" s="1637"/>
      <c r="T708" s="1638">
        <f t="shared" si="26"/>
        <v>18647.2</v>
      </c>
      <c r="U708" s="1639"/>
      <c r="V708" s="1639"/>
      <c r="W708" s="1639"/>
      <c r="X708" s="1640"/>
      <c r="Y708" s="1635">
        <v>86</v>
      </c>
      <c r="Z708" s="1636"/>
      <c r="AA708" s="1636"/>
      <c r="AB708" s="1637"/>
      <c r="AC708" s="1638">
        <f t="shared" si="27"/>
        <v>1520.4</v>
      </c>
      <c r="AD708" s="1639"/>
      <c r="AE708" s="1639"/>
      <c r="AF708" s="1639"/>
      <c r="AG708" s="1640"/>
      <c r="AH708" s="1692">
        <v>0.6</v>
      </c>
      <c r="AI708" s="1693"/>
      <c r="AJ708" s="1693"/>
      <c r="AK708" s="1693"/>
      <c r="AL708" s="1694"/>
      <c r="AM708" s="1668">
        <f t="shared" si="28"/>
        <v>0.60000000000000009</v>
      </c>
      <c r="AN708" s="1669"/>
      <c r="AO708" s="167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88"/>
      <c r="B709" s="1646" t="s">
        <v>854</v>
      </c>
      <c r="C709" s="1647"/>
      <c r="D709" s="1647"/>
      <c r="E709" s="1647"/>
      <c r="F709" s="1648"/>
      <c r="G709" s="1702">
        <v>3</v>
      </c>
      <c r="H709" s="1703"/>
      <c r="I709" s="1703"/>
      <c r="J709" s="1704"/>
      <c r="K709" s="1632">
        <v>1114</v>
      </c>
      <c r="L709" s="1633"/>
      <c r="M709" s="1633"/>
      <c r="N709" s="1634"/>
      <c r="O709" s="1635">
        <v>774.4</v>
      </c>
      <c r="P709" s="1636"/>
      <c r="Q709" s="1636"/>
      <c r="R709" s="1636"/>
      <c r="S709" s="1637"/>
      <c r="T709" s="1638">
        <f t="shared" si="26"/>
        <v>2323.1999999999998</v>
      </c>
      <c r="U709" s="1639"/>
      <c r="V709" s="1639"/>
      <c r="W709" s="1639"/>
      <c r="X709" s="1640"/>
      <c r="Y709" s="1635">
        <v>104</v>
      </c>
      <c r="Z709" s="1636"/>
      <c r="AA709" s="1636"/>
      <c r="AB709" s="1637"/>
      <c r="AC709" s="1638">
        <f t="shared" si="27"/>
        <v>878.4</v>
      </c>
      <c r="AD709" s="1639"/>
      <c r="AE709" s="1639"/>
      <c r="AF709" s="1639"/>
      <c r="AG709" s="1640"/>
      <c r="AH709" s="1692">
        <v>0.3</v>
      </c>
      <c r="AI709" s="1693"/>
      <c r="AJ709" s="1693"/>
      <c r="AK709" s="1693"/>
      <c r="AL709" s="1694"/>
      <c r="AM709" s="1668">
        <f t="shared" si="28"/>
        <v>0.3</v>
      </c>
      <c r="AN709" s="1669"/>
      <c r="AO709" s="167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88"/>
      <c r="B710" s="1646" t="s">
        <v>854</v>
      </c>
      <c r="C710" s="1647"/>
      <c r="D710" s="1647"/>
      <c r="E710" s="1647"/>
      <c r="F710" s="1648"/>
      <c r="G710" s="1702">
        <v>16</v>
      </c>
      <c r="H710" s="1703"/>
      <c r="I710" s="1703"/>
      <c r="J710" s="1704"/>
      <c r="K710" s="1632">
        <v>1114</v>
      </c>
      <c r="L710" s="1633"/>
      <c r="M710" s="1633"/>
      <c r="N710" s="1634"/>
      <c r="O710" s="1635">
        <v>1652.8</v>
      </c>
      <c r="P710" s="1636"/>
      <c r="Q710" s="1636"/>
      <c r="R710" s="1636"/>
      <c r="S710" s="1637"/>
      <c r="T710" s="1638">
        <f t="shared" si="26"/>
        <v>26444.799999999999</v>
      </c>
      <c r="U710" s="1639"/>
      <c r="V710" s="1639"/>
      <c r="W710" s="1639"/>
      <c r="X710" s="1640"/>
      <c r="Y710" s="1635">
        <v>104</v>
      </c>
      <c r="Z710" s="1636"/>
      <c r="AA710" s="1636"/>
      <c r="AB710" s="1637"/>
      <c r="AC710" s="1638">
        <f t="shared" si="27"/>
        <v>1756.8</v>
      </c>
      <c r="AD710" s="1639"/>
      <c r="AE710" s="1639"/>
      <c r="AF710" s="1639"/>
      <c r="AG710" s="1640"/>
      <c r="AH710" s="1692">
        <v>0.6</v>
      </c>
      <c r="AI710" s="1693"/>
      <c r="AJ710" s="1693"/>
      <c r="AK710" s="1693"/>
      <c r="AL710" s="1694"/>
      <c r="AM710" s="1668">
        <f t="shared" si="28"/>
        <v>0.6</v>
      </c>
      <c r="AN710" s="1669"/>
      <c r="AO710" s="167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88"/>
      <c r="B711" s="1646"/>
      <c r="C711" s="1647"/>
      <c r="D711" s="1647"/>
      <c r="E711" s="1647"/>
      <c r="F711" s="1648"/>
      <c r="G711" s="1702"/>
      <c r="H711" s="1703"/>
      <c r="I711" s="1703"/>
      <c r="J711" s="1704"/>
      <c r="K711" s="1632"/>
      <c r="L711" s="1633"/>
      <c r="M711" s="1633"/>
      <c r="N711" s="1634"/>
      <c r="O711" s="1635"/>
      <c r="P711" s="1636"/>
      <c r="Q711" s="1636"/>
      <c r="R711" s="1636"/>
      <c r="S711" s="1637"/>
      <c r="T711" s="1638">
        <f t="shared" si="26"/>
        <v>0</v>
      </c>
      <c r="U711" s="1639"/>
      <c r="V711" s="1639"/>
      <c r="W711" s="1639"/>
      <c r="X711" s="1640"/>
      <c r="Y711" s="1635"/>
      <c r="Z711" s="1636"/>
      <c r="AA711" s="1636"/>
      <c r="AB711" s="1637"/>
      <c r="AC711" s="1638">
        <f t="shared" si="27"/>
        <v>0</v>
      </c>
      <c r="AD711" s="1639"/>
      <c r="AE711" s="1639"/>
      <c r="AF711" s="1639"/>
      <c r="AG711" s="1640"/>
      <c r="AH711" s="1692"/>
      <c r="AI711" s="1693"/>
      <c r="AJ711" s="1693"/>
      <c r="AK711" s="1693"/>
      <c r="AL711" s="1694"/>
      <c r="AM711" s="1668" t="str">
        <f t="shared" si="28"/>
        <v xml:space="preserve"> </v>
      </c>
      <c r="AN711" s="1669"/>
      <c r="AO711" s="167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88"/>
      <c r="B712" s="1646"/>
      <c r="C712" s="1647"/>
      <c r="D712" s="1647"/>
      <c r="E712" s="1647"/>
      <c r="F712" s="1648"/>
      <c r="G712" s="1702"/>
      <c r="H712" s="1703"/>
      <c r="I712" s="1703"/>
      <c r="J712" s="1704"/>
      <c r="K712" s="1632"/>
      <c r="L712" s="1633"/>
      <c r="M712" s="1633"/>
      <c r="N712" s="1634"/>
      <c r="O712" s="1635"/>
      <c r="P712" s="1636"/>
      <c r="Q712" s="1636"/>
      <c r="R712" s="1636"/>
      <c r="S712" s="1637"/>
      <c r="T712" s="1638">
        <f t="shared" si="26"/>
        <v>0</v>
      </c>
      <c r="U712" s="1639"/>
      <c r="V712" s="1639"/>
      <c r="W712" s="1639"/>
      <c r="X712" s="1640"/>
      <c r="Y712" s="1635"/>
      <c r="Z712" s="1636"/>
      <c r="AA712" s="1636"/>
      <c r="AB712" s="1637"/>
      <c r="AC712" s="1638">
        <f t="shared" si="27"/>
        <v>0</v>
      </c>
      <c r="AD712" s="1639"/>
      <c r="AE712" s="1639"/>
      <c r="AF712" s="1639"/>
      <c r="AG712" s="1640"/>
      <c r="AH712" s="1692"/>
      <c r="AI712" s="1693"/>
      <c r="AJ712" s="1693"/>
      <c r="AK712" s="1693"/>
      <c r="AL712" s="1694"/>
      <c r="AM712" s="1668" t="str">
        <f t="shared" si="28"/>
        <v xml:space="preserve"> </v>
      </c>
      <c r="AN712" s="1669"/>
      <c r="AO712" s="167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646"/>
      <c r="C713" s="1647"/>
      <c r="D713" s="1647"/>
      <c r="E713" s="1647"/>
      <c r="F713" s="1648"/>
      <c r="G713" s="1702"/>
      <c r="H713" s="1703"/>
      <c r="I713" s="1703"/>
      <c r="J713" s="1704"/>
      <c r="K713" s="1632"/>
      <c r="L713" s="1633"/>
      <c r="M713" s="1633"/>
      <c r="N713" s="1634"/>
      <c r="O713" s="1635"/>
      <c r="P713" s="1636"/>
      <c r="Q713" s="1636"/>
      <c r="R713" s="1636"/>
      <c r="S713" s="1637"/>
      <c r="T713" s="1638">
        <f t="shared" si="26"/>
        <v>0</v>
      </c>
      <c r="U713" s="1639"/>
      <c r="V713" s="1639"/>
      <c r="W713" s="1639"/>
      <c r="X713" s="1640"/>
      <c r="Y713" s="1635"/>
      <c r="Z713" s="1636"/>
      <c r="AA713" s="1636"/>
      <c r="AB713" s="1637"/>
      <c r="AC713" s="1638">
        <f t="shared" si="27"/>
        <v>0</v>
      </c>
      <c r="AD713" s="1639"/>
      <c r="AE713" s="1639"/>
      <c r="AF713" s="1639"/>
      <c r="AG713" s="1640"/>
      <c r="AH713" s="1692"/>
      <c r="AI713" s="1693"/>
      <c r="AJ713" s="1693"/>
      <c r="AK713" s="1693"/>
      <c r="AL713" s="1694"/>
      <c r="AM713" s="1668" t="str">
        <f t="shared" si="28"/>
        <v xml:space="preserve"> </v>
      </c>
      <c r="AN713" s="1669"/>
      <c r="AO713" s="1670"/>
      <c r="BA713" s="72"/>
      <c r="BB713" s="72"/>
      <c r="BC713" s="72"/>
      <c r="BD713" s="72"/>
      <c r="BE713" s="149"/>
      <c r="BF713" s="147" t="s">
        <v>974</v>
      </c>
      <c r="BG713" s="719">
        <f>SUM(BG688:BG712)</f>
        <v>62</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646"/>
      <c r="C714" s="1647"/>
      <c r="D714" s="1647"/>
      <c r="E714" s="1647"/>
      <c r="F714" s="1648"/>
      <c r="G714" s="1702"/>
      <c r="H714" s="1703"/>
      <c r="I714" s="1703"/>
      <c r="J714" s="1704"/>
      <c r="K714" s="1632"/>
      <c r="L714" s="1633"/>
      <c r="M714" s="1633"/>
      <c r="N714" s="1634"/>
      <c r="O714" s="1635"/>
      <c r="P714" s="1636"/>
      <c r="Q714" s="1636"/>
      <c r="R714" s="1636"/>
      <c r="S714" s="1637"/>
      <c r="T714" s="1638">
        <f t="shared" si="26"/>
        <v>0</v>
      </c>
      <c r="U714" s="1639"/>
      <c r="V714" s="1639"/>
      <c r="W714" s="1639"/>
      <c r="X714" s="1640"/>
      <c r="Y714" s="1635"/>
      <c r="Z714" s="1636"/>
      <c r="AA714" s="1636"/>
      <c r="AB714" s="1637"/>
      <c r="AC714" s="1638">
        <f t="shared" si="27"/>
        <v>0</v>
      </c>
      <c r="AD714" s="1639"/>
      <c r="AE714" s="1639"/>
      <c r="AF714" s="1639"/>
      <c r="AG714" s="1640"/>
      <c r="AH714" s="1692"/>
      <c r="AI714" s="1693"/>
      <c r="AJ714" s="1693"/>
      <c r="AK714" s="1693"/>
      <c r="AL714" s="1694"/>
      <c r="AM714" s="1668" t="str">
        <f t="shared" si="28"/>
        <v xml:space="preserve"> </v>
      </c>
      <c r="AN714" s="1669"/>
      <c r="AO714" s="167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646"/>
      <c r="C715" s="1647"/>
      <c r="D715" s="1647"/>
      <c r="E715" s="1647"/>
      <c r="F715" s="1648"/>
      <c r="G715" s="1702"/>
      <c r="H715" s="1703"/>
      <c r="I715" s="1703"/>
      <c r="J715" s="1704"/>
      <c r="K715" s="1632"/>
      <c r="L715" s="1633"/>
      <c r="M715" s="1633"/>
      <c r="N715" s="1634"/>
      <c r="O715" s="1635"/>
      <c r="P715" s="1636"/>
      <c r="Q715" s="1636"/>
      <c r="R715" s="1636"/>
      <c r="S715" s="1637"/>
      <c r="T715" s="1638">
        <f t="shared" si="26"/>
        <v>0</v>
      </c>
      <c r="U715" s="1639"/>
      <c r="V715" s="1639"/>
      <c r="W715" s="1639"/>
      <c r="X715" s="1640"/>
      <c r="Y715" s="1635">
        <v>0</v>
      </c>
      <c r="Z715" s="1636"/>
      <c r="AA715" s="1636"/>
      <c r="AB715" s="1637"/>
      <c r="AC715" s="1638">
        <f t="shared" si="27"/>
        <v>0</v>
      </c>
      <c r="AD715" s="1639"/>
      <c r="AE715" s="1639"/>
      <c r="AF715" s="1639"/>
      <c r="AG715" s="1640"/>
      <c r="AH715" s="1692">
        <v>0</v>
      </c>
      <c r="AI715" s="1693"/>
      <c r="AJ715" s="1693"/>
      <c r="AK715" s="1693"/>
      <c r="AL715" s="1694"/>
      <c r="AM715" s="1668" t="str">
        <f t="shared" si="28"/>
        <v xml:space="preserve"> </v>
      </c>
      <c r="AN715" s="1669"/>
      <c r="AO715" s="1670"/>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88"/>
      <c r="B716" s="1646"/>
      <c r="C716" s="1647"/>
      <c r="D716" s="1647"/>
      <c r="E716" s="1647"/>
      <c r="F716" s="1648"/>
      <c r="G716" s="1702"/>
      <c r="H716" s="1703"/>
      <c r="I716" s="1703"/>
      <c r="J716" s="1704"/>
      <c r="K716" s="1632"/>
      <c r="L716" s="1633"/>
      <c r="M716" s="1633"/>
      <c r="N716" s="1634"/>
      <c r="O716" s="1635"/>
      <c r="P716" s="1636"/>
      <c r="Q716" s="1636"/>
      <c r="R716" s="1636"/>
      <c r="S716" s="1637"/>
      <c r="T716" s="1638">
        <f t="shared" si="26"/>
        <v>0</v>
      </c>
      <c r="U716" s="1639"/>
      <c r="V716" s="1639"/>
      <c r="W716" s="1639"/>
      <c r="X716" s="1640"/>
      <c r="Y716" s="1635">
        <v>0</v>
      </c>
      <c r="Z716" s="1636"/>
      <c r="AA716" s="1636"/>
      <c r="AB716" s="1637"/>
      <c r="AC716" s="1638">
        <f t="shared" si="27"/>
        <v>0</v>
      </c>
      <c r="AD716" s="1639"/>
      <c r="AE716" s="1639"/>
      <c r="AF716" s="1639"/>
      <c r="AG716" s="1640"/>
      <c r="AH716" s="1692">
        <v>0</v>
      </c>
      <c r="AI716" s="1693"/>
      <c r="AJ716" s="1693"/>
      <c r="AK716" s="1693"/>
      <c r="AL716" s="1694"/>
      <c r="AM716" s="1668" t="str">
        <f t="shared" si="28"/>
        <v xml:space="preserve"> </v>
      </c>
      <c r="AN716" s="1669"/>
      <c r="AO716" s="1670"/>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88"/>
      <c r="B717" s="1646"/>
      <c r="C717" s="1647"/>
      <c r="D717" s="1647"/>
      <c r="E717" s="1647"/>
      <c r="F717" s="1648"/>
      <c r="G717" s="1702"/>
      <c r="H717" s="1703"/>
      <c r="I717" s="1703"/>
      <c r="J717" s="1704"/>
      <c r="K717" s="1632"/>
      <c r="L717" s="1633"/>
      <c r="M717" s="1633"/>
      <c r="N717" s="1634"/>
      <c r="O717" s="1635"/>
      <c r="P717" s="1636"/>
      <c r="Q717" s="1636"/>
      <c r="R717" s="1636"/>
      <c r="S717" s="1637"/>
      <c r="T717" s="1638">
        <f t="shared" si="26"/>
        <v>0</v>
      </c>
      <c r="U717" s="1639"/>
      <c r="V717" s="1639"/>
      <c r="W717" s="1639"/>
      <c r="X717" s="1640"/>
      <c r="Y717" s="1635">
        <v>0</v>
      </c>
      <c r="Z717" s="1636"/>
      <c r="AA717" s="1636"/>
      <c r="AB717" s="1637"/>
      <c r="AC717" s="1638">
        <f t="shared" si="27"/>
        <v>0</v>
      </c>
      <c r="AD717" s="1639"/>
      <c r="AE717" s="1639"/>
      <c r="AF717" s="1639"/>
      <c r="AG717" s="1640"/>
      <c r="AH717" s="1692">
        <v>0</v>
      </c>
      <c r="AI717" s="1693"/>
      <c r="AJ717" s="1693"/>
      <c r="AK717" s="1693"/>
      <c r="AL717" s="1694"/>
      <c r="AM717" s="1668" t="str">
        <f t="shared" si="28"/>
        <v xml:space="preserve"> </v>
      </c>
      <c r="AN717" s="1669"/>
      <c r="AO717" s="1670"/>
      <c r="BA717" s="72"/>
      <c r="BB717" s="72"/>
      <c r="BC717" s="72"/>
      <c r="BD717" s="72"/>
      <c r="BE717" s="72"/>
      <c r="BF717" s="72"/>
      <c r="BG717" s="1447" t="s">
        <v>2300</v>
      </c>
      <c r="BH717" s="1448"/>
      <c r="BI717" s="1448"/>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88"/>
      <c r="B718" s="1646"/>
      <c r="C718" s="1647"/>
      <c r="D718" s="1647"/>
      <c r="E718" s="1647"/>
      <c r="F718" s="1648"/>
      <c r="G718" s="1702"/>
      <c r="H718" s="1703"/>
      <c r="I718" s="1703"/>
      <c r="J718" s="1704"/>
      <c r="K718" s="1632"/>
      <c r="L718" s="1633"/>
      <c r="M718" s="1633"/>
      <c r="N718" s="1634"/>
      <c r="O718" s="1635"/>
      <c r="P718" s="1636"/>
      <c r="Q718" s="1636"/>
      <c r="R718" s="1636"/>
      <c r="S718" s="1637"/>
      <c r="T718" s="1638">
        <f t="shared" si="26"/>
        <v>0</v>
      </c>
      <c r="U718" s="1639"/>
      <c r="V718" s="1639"/>
      <c r="W718" s="1639"/>
      <c r="X718" s="1640"/>
      <c r="Y718" s="1635">
        <v>0</v>
      </c>
      <c r="Z718" s="1636"/>
      <c r="AA718" s="1636"/>
      <c r="AB718" s="1637"/>
      <c r="AC718" s="1638">
        <f t="shared" si="27"/>
        <v>0</v>
      </c>
      <c r="AD718" s="1639"/>
      <c r="AE718" s="1639"/>
      <c r="AF718" s="1639"/>
      <c r="AG718" s="1640"/>
      <c r="AH718" s="1692">
        <v>0</v>
      </c>
      <c r="AI718" s="1693"/>
      <c r="AJ718" s="1693"/>
      <c r="AK718" s="1693"/>
      <c r="AL718" s="1694"/>
      <c r="AM718" s="1668" t="str">
        <f t="shared" si="28"/>
        <v xml:space="preserve"> </v>
      </c>
      <c r="AN718" s="1669"/>
      <c r="AO718" s="1670"/>
      <c r="BA718" s="72"/>
      <c r="BB718" s="72"/>
      <c r="BC718" s="72"/>
      <c r="BD718" s="72"/>
      <c r="BE718" s="72"/>
      <c r="BF718" s="72"/>
      <c r="BG718" s="1449" t="s">
        <v>1259</v>
      </c>
      <c r="BH718" s="1450" t="s">
        <v>1260</v>
      </c>
      <c r="BI718" s="1451"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88"/>
      <c r="B719" s="1646"/>
      <c r="C719" s="1647"/>
      <c r="D719" s="1647"/>
      <c r="E719" s="1647"/>
      <c r="F719" s="1648"/>
      <c r="G719" s="1702"/>
      <c r="H719" s="1703"/>
      <c r="I719" s="1703"/>
      <c r="J719" s="1704"/>
      <c r="K719" s="1632"/>
      <c r="L719" s="1633"/>
      <c r="M719" s="1633"/>
      <c r="N719" s="1634"/>
      <c r="O719" s="1635"/>
      <c r="P719" s="1636"/>
      <c r="Q719" s="1636"/>
      <c r="R719" s="1636"/>
      <c r="S719" s="1637"/>
      <c r="T719" s="1638">
        <f t="shared" si="26"/>
        <v>0</v>
      </c>
      <c r="U719" s="1639"/>
      <c r="V719" s="1639"/>
      <c r="W719" s="1639"/>
      <c r="X719" s="1640"/>
      <c r="Y719" s="1635">
        <v>0</v>
      </c>
      <c r="Z719" s="1636"/>
      <c r="AA719" s="1636"/>
      <c r="AB719" s="1637"/>
      <c r="AC719" s="1638">
        <f t="shared" si="27"/>
        <v>0</v>
      </c>
      <c r="AD719" s="1639"/>
      <c r="AE719" s="1639"/>
      <c r="AF719" s="1639"/>
      <c r="AG719" s="1640"/>
      <c r="AH719" s="1692">
        <v>0</v>
      </c>
      <c r="AI719" s="1693"/>
      <c r="AJ719" s="1693"/>
      <c r="AK719" s="1693"/>
      <c r="AL719" s="1694"/>
      <c r="AM719" s="1668" t="str">
        <f t="shared" si="28"/>
        <v xml:space="preserve"> </v>
      </c>
      <c r="AN719" s="1669"/>
      <c r="AO719" s="1670"/>
      <c r="BA719" s="72"/>
      <c r="BB719" s="72"/>
      <c r="BC719" s="72"/>
      <c r="BD719" s="72"/>
      <c r="BE719" s="72"/>
      <c r="BF719" s="72"/>
      <c r="BG719" s="1452">
        <f>G704</f>
        <v>13</v>
      </c>
      <c r="BH719" s="1456">
        <f>BG719/$BG$744</f>
        <v>0.20967741935483872</v>
      </c>
      <c r="BI719" s="1457">
        <f>IF(BH719=0," ",BH719*AM704)</f>
        <v>6.2903225806451607E-2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88"/>
      <c r="B720" s="1646"/>
      <c r="C720" s="1647"/>
      <c r="D720" s="1647"/>
      <c r="E720" s="1647"/>
      <c r="F720" s="1648"/>
      <c r="G720" s="1702"/>
      <c r="H720" s="1703"/>
      <c r="I720" s="1703"/>
      <c r="J720" s="1704"/>
      <c r="K720" s="1632"/>
      <c r="L720" s="1633"/>
      <c r="M720" s="1633"/>
      <c r="N720" s="1634"/>
      <c r="O720" s="1635"/>
      <c r="P720" s="1636"/>
      <c r="Q720" s="1636"/>
      <c r="R720" s="1636"/>
      <c r="S720" s="1637"/>
      <c r="T720" s="1638">
        <f t="shared" si="26"/>
        <v>0</v>
      </c>
      <c r="U720" s="1639"/>
      <c r="V720" s="1639"/>
      <c r="W720" s="1639"/>
      <c r="X720" s="1640"/>
      <c r="Y720" s="1635">
        <v>0</v>
      </c>
      <c r="Z720" s="1636"/>
      <c r="AA720" s="1636"/>
      <c r="AB720" s="1637"/>
      <c r="AC720" s="1638">
        <f t="shared" si="27"/>
        <v>0</v>
      </c>
      <c r="AD720" s="1639"/>
      <c r="AE720" s="1639"/>
      <c r="AF720" s="1639"/>
      <c r="AG720" s="1640"/>
      <c r="AH720" s="1692">
        <v>0</v>
      </c>
      <c r="AI720" s="1693"/>
      <c r="AJ720" s="1693"/>
      <c r="AK720" s="1693"/>
      <c r="AL720" s="1694"/>
      <c r="AM720" s="1668" t="str">
        <f t="shared" si="28"/>
        <v xml:space="preserve"> </v>
      </c>
      <c r="AN720" s="1669"/>
      <c r="AO720" s="1670"/>
      <c r="BA720" s="72"/>
      <c r="BB720" s="72"/>
      <c r="BC720" s="72"/>
      <c r="BD720" s="72"/>
      <c r="BE720" s="72"/>
      <c r="BF720" s="72"/>
      <c r="BG720" s="1452">
        <f t="shared" ref="BG720:BG743" si="29">G705</f>
        <v>12</v>
      </c>
      <c r="BH720" s="1456">
        <f t="shared" ref="BH720:BH743" si="30">BG720/$BG$744</f>
        <v>0.19354838709677419</v>
      </c>
      <c r="BI720" s="1457">
        <f t="shared" ref="BI720:BI743" si="31">IF(BH720=0," ",BH720*AM705)</f>
        <v>5.8064516129032254E-2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88"/>
      <c r="B721" s="1646"/>
      <c r="C721" s="1647"/>
      <c r="D721" s="1647"/>
      <c r="E721" s="1647"/>
      <c r="F721" s="1648"/>
      <c r="G721" s="1702"/>
      <c r="H721" s="1703"/>
      <c r="I721" s="1703"/>
      <c r="J721" s="1704"/>
      <c r="K721" s="1632"/>
      <c r="L721" s="1633"/>
      <c r="M721" s="1633"/>
      <c r="N721" s="1634"/>
      <c r="O721" s="1635"/>
      <c r="P721" s="1636"/>
      <c r="Q721" s="1636"/>
      <c r="R721" s="1636"/>
      <c r="S721" s="1637"/>
      <c r="T721" s="1638">
        <f t="shared" si="26"/>
        <v>0</v>
      </c>
      <c r="U721" s="1639"/>
      <c r="V721" s="1639"/>
      <c r="W721" s="1639"/>
      <c r="X721" s="1640"/>
      <c r="Y721" s="1635">
        <v>0</v>
      </c>
      <c r="Z721" s="1636"/>
      <c r="AA721" s="1636"/>
      <c r="AB721" s="1637"/>
      <c r="AC721" s="1638">
        <f t="shared" si="27"/>
        <v>0</v>
      </c>
      <c r="AD721" s="1639"/>
      <c r="AE721" s="1639"/>
      <c r="AF721" s="1639"/>
      <c r="AG721" s="1640"/>
      <c r="AH721" s="1692">
        <v>0</v>
      </c>
      <c r="AI721" s="1693"/>
      <c r="AJ721" s="1693"/>
      <c r="AK721" s="1693"/>
      <c r="AL721" s="1694"/>
      <c r="AM721" s="1668" t="str">
        <f t="shared" si="28"/>
        <v xml:space="preserve"> </v>
      </c>
      <c r="AN721" s="1669"/>
      <c r="AO721" s="1670"/>
      <c r="BA721" s="75"/>
      <c r="BB721" s="75"/>
      <c r="BC721" s="75"/>
      <c r="BD721" s="75"/>
      <c r="BE721" s="75"/>
      <c r="BF721" s="75"/>
      <c r="BG721" s="1452">
        <f t="shared" si="29"/>
        <v>2</v>
      </c>
      <c r="BH721" s="1456">
        <f t="shared" si="30"/>
        <v>3.2258064516129031E-2</v>
      </c>
      <c r="BI721" s="1457">
        <f t="shared" si="31"/>
        <v>1.9354838709677417E-2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88"/>
      <c r="B722" s="1646"/>
      <c r="C722" s="1647"/>
      <c r="D722" s="1647"/>
      <c r="E722" s="1647"/>
      <c r="F722" s="1648"/>
      <c r="G722" s="1702"/>
      <c r="H722" s="1703"/>
      <c r="I722" s="1703"/>
      <c r="J722" s="1704"/>
      <c r="K722" s="1632"/>
      <c r="L722" s="1633"/>
      <c r="M722" s="1633"/>
      <c r="N722" s="1634"/>
      <c r="O722" s="1635"/>
      <c r="P722" s="1636"/>
      <c r="Q722" s="1636"/>
      <c r="R722" s="1636"/>
      <c r="S722" s="1637"/>
      <c r="T722" s="1638">
        <f t="shared" si="26"/>
        <v>0</v>
      </c>
      <c r="U722" s="1639"/>
      <c r="V722" s="1639"/>
      <c r="W722" s="1639"/>
      <c r="X722" s="1640"/>
      <c r="Y722" s="1635">
        <v>0</v>
      </c>
      <c r="Z722" s="1636"/>
      <c r="AA722" s="1636"/>
      <c r="AB722" s="1637"/>
      <c r="AC722" s="1638">
        <f t="shared" si="27"/>
        <v>0</v>
      </c>
      <c r="AD722" s="1639"/>
      <c r="AE722" s="1639"/>
      <c r="AF722" s="1639"/>
      <c r="AG722" s="1640"/>
      <c r="AH722" s="1692">
        <v>0</v>
      </c>
      <c r="AI722" s="1693"/>
      <c r="AJ722" s="1693"/>
      <c r="AK722" s="1693"/>
      <c r="AL722" s="1694"/>
      <c r="AM722" s="1668" t="str">
        <f t="shared" si="28"/>
        <v xml:space="preserve"> </v>
      </c>
      <c r="AN722" s="1669"/>
      <c r="AO722" s="1670"/>
      <c r="BA722" s="75"/>
      <c r="BB722" s="75"/>
      <c r="BC722" s="75"/>
      <c r="BD722" s="75"/>
      <c r="BE722" s="75"/>
      <c r="BF722" s="75"/>
      <c r="BG722" s="1452">
        <f t="shared" si="29"/>
        <v>3</v>
      </c>
      <c r="BH722" s="1456">
        <f t="shared" si="30"/>
        <v>4.8387096774193547E-2</v>
      </c>
      <c r="BI722" s="1457">
        <f t="shared" si="31"/>
        <v>1.4516129032258067E-2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88"/>
      <c r="B723" s="1646"/>
      <c r="C723" s="1647"/>
      <c r="D723" s="1647"/>
      <c r="E723" s="1647"/>
      <c r="F723" s="1648"/>
      <c r="G723" s="1702"/>
      <c r="H723" s="1703"/>
      <c r="I723" s="1703"/>
      <c r="J723" s="1704"/>
      <c r="K723" s="1632"/>
      <c r="L723" s="1633"/>
      <c r="M723" s="1633"/>
      <c r="N723" s="1634"/>
      <c r="O723" s="1635"/>
      <c r="P723" s="1636"/>
      <c r="Q723" s="1636"/>
      <c r="R723" s="1636"/>
      <c r="S723" s="1637"/>
      <c r="T723" s="1638">
        <f t="shared" si="26"/>
        <v>0</v>
      </c>
      <c r="U723" s="1639"/>
      <c r="V723" s="1639"/>
      <c r="W723" s="1639"/>
      <c r="X723" s="1640"/>
      <c r="Y723" s="1635">
        <v>0</v>
      </c>
      <c r="Z723" s="1636"/>
      <c r="AA723" s="1636"/>
      <c r="AB723" s="1637"/>
      <c r="AC723" s="1638">
        <f t="shared" si="27"/>
        <v>0</v>
      </c>
      <c r="AD723" s="1639"/>
      <c r="AE723" s="1639"/>
      <c r="AF723" s="1639"/>
      <c r="AG723" s="1640"/>
      <c r="AH723" s="1692">
        <v>0</v>
      </c>
      <c r="AI723" s="1693"/>
      <c r="AJ723" s="1693"/>
      <c r="AK723" s="1693"/>
      <c r="AL723" s="1694"/>
      <c r="AM723" s="1668" t="str">
        <f t="shared" si="28"/>
        <v xml:space="preserve"> </v>
      </c>
      <c r="AN723" s="1669"/>
      <c r="AO723" s="1670"/>
      <c r="BA723" s="75"/>
      <c r="BB723" s="75"/>
      <c r="BC723" s="75"/>
      <c r="BD723" s="75"/>
      <c r="BE723" s="75"/>
      <c r="BF723" s="75"/>
      <c r="BG723" s="1452">
        <f t="shared" si="29"/>
        <v>13</v>
      </c>
      <c r="BH723" s="1456">
        <f t="shared" si="30"/>
        <v>0.20967741935483872</v>
      </c>
      <c r="BI723" s="1457">
        <f t="shared" si="31"/>
        <v>0.12580645161290324</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88"/>
      <c r="B724" s="1646"/>
      <c r="C724" s="1647"/>
      <c r="D724" s="1647"/>
      <c r="E724" s="1647"/>
      <c r="F724" s="1648"/>
      <c r="G724" s="1702"/>
      <c r="H724" s="1703"/>
      <c r="I724" s="1703"/>
      <c r="J724" s="1704"/>
      <c r="K724" s="1632"/>
      <c r="L724" s="1633"/>
      <c r="M724" s="1633"/>
      <c r="N724" s="1634"/>
      <c r="O724" s="1635"/>
      <c r="P724" s="1636"/>
      <c r="Q724" s="1636"/>
      <c r="R724" s="1636"/>
      <c r="S724" s="1637"/>
      <c r="T724" s="1638">
        <f t="shared" si="26"/>
        <v>0</v>
      </c>
      <c r="U724" s="1639"/>
      <c r="V724" s="1639"/>
      <c r="W724" s="1639"/>
      <c r="X724" s="1640"/>
      <c r="Y724" s="1635">
        <v>0</v>
      </c>
      <c r="Z724" s="1636"/>
      <c r="AA724" s="1636"/>
      <c r="AB724" s="1637"/>
      <c r="AC724" s="1638">
        <f t="shared" si="27"/>
        <v>0</v>
      </c>
      <c r="AD724" s="1639"/>
      <c r="AE724" s="1639"/>
      <c r="AF724" s="1639"/>
      <c r="AG724" s="1640"/>
      <c r="AH724" s="1692">
        <v>0</v>
      </c>
      <c r="AI724" s="1693"/>
      <c r="AJ724" s="1693"/>
      <c r="AK724" s="1693"/>
      <c r="AL724" s="1694"/>
      <c r="AM724" s="1668" t="str">
        <f t="shared" si="28"/>
        <v xml:space="preserve"> </v>
      </c>
      <c r="AN724" s="1669"/>
      <c r="AO724" s="1670"/>
      <c r="BA724" s="75"/>
      <c r="BB724" s="75"/>
      <c r="BC724" s="75"/>
      <c r="BD724" s="75"/>
      <c r="BE724" s="75"/>
      <c r="BF724" s="75"/>
      <c r="BG724" s="1452">
        <f t="shared" si="29"/>
        <v>3</v>
      </c>
      <c r="BH724" s="1456">
        <f t="shared" si="30"/>
        <v>4.8387096774193547E-2</v>
      </c>
      <c r="BI724" s="1457">
        <f t="shared" si="31"/>
        <v>1.4516129032258063E-2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88"/>
      <c r="B725" s="1646"/>
      <c r="C725" s="1647"/>
      <c r="D725" s="1647"/>
      <c r="E725" s="1647"/>
      <c r="F725" s="1648"/>
      <c r="G725" s="1702"/>
      <c r="H725" s="1703"/>
      <c r="I725" s="1703"/>
      <c r="J725" s="1704"/>
      <c r="K725" s="1632"/>
      <c r="L725" s="1633"/>
      <c r="M725" s="1633"/>
      <c r="N725" s="1634"/>
      <c r="O725" s="1635"/>
      <c r="P725" s="1636"/>
      <c r="Q725" s="1636"/>
      <c r="R725" s="1636"/>
      <c r="S725" s="1637"/>
      <c r="T725" s="1638">
        <f t="shared" si="26"/>
        <v>0</v>
      </c>
      <c r="U725" s="1639"/>
      <c r="V725" s="1639"/>
      <c r="W725" s="1639"/>
      <c r="X725" s="1640"/>
      <c r="Y725" s="1635">
        <v>0</v>
      </c>
      <c r="Z725" s="1636"/>
      <c r="AA725" s="1636"/>
      <c r="AB725" s="1637"/>
      <c r="AC725" s="1638">
        <f t="shared" si="27"/>
        <v>0</v>
      </c>
      <c r="AD725" s="1639"/>
      <c r="AE725" s="1639"/>
      <c r="AF725" s="1639"/>
      <c r="AG725" s="1640"/>
      <c r="AH725" s="1692">
        <v>0</v>
      </c>
      <c r="AI725" s="1693"/>
      <c r="AJ725" s="1693"/>
      <c r="AK725" s="1693"/>
      <c r="AL725" s="1694"/>
      <c r="AM725" s="1668" t="str">
        <f t="shared" si="28"/>
        <v xml:space="preserve"> </v>
      </c>
      <c r="AN725" s="1669"/>
      <c r="AO725" s="1670"/>
      <c r="BA725" s="75"/>
      <c r="BB725" s="75"/>
      <c r="BC725" s="75"/>
      <c r="BD725" s="75"/>
      <c r="BE725" s="75"/>
      <c r="BF725" s="75"/>
      <c r="BG725" s="1452">
        <f t="shared" si="29"/>
        <v>16</v>
      </c>
      <c r="BH725" s="1456">
        <f t="shared" si="30"/>
        <v>0.25806451612903225</v>
      </c>
      <c r="BI725" s="1457">
        <f t="shared" si="31"/>
        <v>0.15483870967741933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88"/>
      <c r="B726" s="1646"/>
      <c r="C726" s="1647"/>
      <c r="D726" s="1647"/>
      <c r="E726" s="1647"/>
      <c r="F726" s="1648"/>
      <c r="G726" s="1702"/>
      <c r="H726" s="1703"/>
      <c r="I726" s="1703"/>
      <c r="J726" s="1704"/>
      <c r="K726" s="1632"/>
      <c r="L726" s="1633"/>
      <c r="M726" s="1633"/>
      <c r="N726" s="1634"/>
      <c r="O726" s="1635"/>
      <c r="P726" s="1636"/>
      <c r="Q726" s="1636"/>
      <c r="R726" s="1636"/>
      <c r="S726" s="1637"/>
      <c r="T726" s="1638">
        <f t="shared" si="26"/>
        <v>0</v>
      </c>
      <c r="U726" s="1639"/>
      <c r="V726" s="1639"/>
      <c r="W726" s="1639"/>
      <c r="X726" s="1640"/>
      <c r="Y726" s="1635">
        <v>0</v>
      </c>
      <c r="Z726" s="1636"/>
      <c r="AA726" s="1636"/>
      <c r="AB726" s="1637"/>
      <c r="AC726" s="1638">
        <f t="shared" si="27"/>
        <v>0</v>
      </c>
      <c r="AD726" s="1639"/>
      <c r="AE726" s="1639"/>
      <c r="AF726" s="1639"/>
      <c r="AG726" s="1640"/>
      <c r="AH726" s="1692">
        <v>0</v>
      </c>
      <c r="AI726" s="1693"/>
      <c r="AJ726" s="1693"/>
      <c r="AK726" s="1693"/>
      <c r="AL726" s="1694"/>
      <c r="AM726" s="1668" t="str">
        <f t="shared" si="28"/>
        <v xml:space="preserve"> </v>
      </c>
      <c r="AN726" s="1669"/>
      <c r="AO726" s="1670"/>
      <c r="BA726" s="62"/>
      <c r="BB726" s="326"/>
      <c r="BC726" s="326"/>
      <c r="BD726" s="326"/>
      <c r="BE726" s="807"/>
      <c r="BF726" s="807"/>
      <c r="BG726" s="1452">
        <f t="shared" si="29"/>
        <v>0</v>
      </c>
      <c r="BH726" s="1456">
        <f t="shared" si="30"/>
        <v>0</v>
      </c>
      <c r="BI726" s="1457"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88"/>
      <c r="B727" s="1646"/>
      <c r="C727" s="1647"/>
      <c r="D727" s="1647"/>
      <c r="E727" s="1647"/>
      <c r="F727" s="1648"/>
      <c r="G727" s="1702"/>
      <c r="H727" s="1703"/>
      <c r="I727" s="1703"/>
      <c r="J727" s="1704"/>
      <c r="K727" s="1632"/>
      <c r="L727" s="1633"/>
      <c r="M727" s="1633"/>
      <c r="N727" s="1634"/>
      <c r="O727" s="1635"/>
      <c r="P727" s="1636"/>
      <c r="Q727" s="1636"/>
      <c r="R727" s="1636"/>
      <c r="S727" s="1637"/>
      <c r="T727" s="1638">
        <f t="shared" si="26"/>
        <v>0</v>
      </c>
      <c r="U727" s="1639"/>
      <c r="V727" s="1639"/>
      <c r="W727" s="1639"/>
      <c r="X727" s="1640"/>
      <c r="Y727" s="1635">
        <v>0</v>
      </c>
      <c r="Z727" s="1636"/>
      <c r="AA727" s="1636"/>
      <c r="AB727" s="1637"/>
      <c r="AC727" s="1638">
        <f t="shared" si="27"/>
        <v>0</v>
      </c>
      <c r="AD727" s="1639"/>
      <c r="AE727" s="1639"/>
      <c r="AF727" s="1639"/>
      <c r="AG727" s="1640"/>
      <c r="AH727" s="1692">
        <v>0</v>
      </c>
      <c r="AI727" s="1693"/>
      <c r="AJ727" s="1693"/>
      <c r="AK727" s="1693"/>
      <c r="AL727" s="1694"/>
      <c r="AM727" s="1668" t="str">
        <f t="shared" si="28"/>
        <v xml:space="preserve"> </v>
      </c>
      <c r="AN727" s="1669"/>
      <c r="AO727" s="1670"/>
      <c r="BA727" s="326"/>
      <c r="BB727" s="326"/>
      <c r="BC727" s="326"/>
      <c r="BD727" s="326"/>
      <c r="BE727" s="807"/>
      <c r="BF727" s="807"/>
      <c r="BG727" s="1452">
        <f t="shared" si="29"/>
        <v>0</v>
      </c>
      <c r="BH727" s="1456">
        <f t="shared" si="30"/>
        <v>0</v>
      </c>
      <c r="BI727" s="1457"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88"/>
      <c r="B728" s="1646"/>
      <c r="C728" s="1647"/>
      <c r="D728" s="1647"/>
      <c r="E728" s="1647"/>
      <c r="F728" s="1648"/>
      <c r="G728" s="1702"/>
      <c r="H728" s="1703"/>
      <c r="I728" s="1703"/>
      <c r="J728" s="1704"/>
      <c r="K728" s="1632"/>
      <c r="L728" s="1633"/>
      <c r="M728" s="1633"/>
      <c r="N728" s="1634"/>
      <c r="O728" s="1635"/>
      <c r="P728" s="1636"/>
      <c r="Q728" s="1636"/>
      <c r="R728" s="1636"/>
      <c r="S728" s="1637"/>
      <c r="T728" s="1638">
        <f t="shared" si="26"/>
        <v>0</v>
      </c>
      <c r="U728" s="1639"/>
      <c r="V728" s="1639"/>
      <c r="W728" s="1639"/>
      <c r="X728" s="1640"/>
      <c r="Y728" s="1635">
        <v>0</v>
      </c>
      <c r="Z728" s="1636"/>
      <c r="AA728" s="1636"/>
      <c r="AB728" s="1637"/>
      <c r="AC728" s="1638">
        <f t="shared" si="27"/>
        <v>0</v>
      </c>
      <c r="AD728" s="1639"/>
      <c r="AE728" s="1639"/>
      <c r="AF728" s="1639"/>
      <c r="AG728" s="1640"/>
      <c r="AH728" s="1692">
        <v>0</v>
      </c>
      <c r="AI728" s="1693"/>
      <c r="AJ728" s="1693"/>
      <c r="AK728" s="1693"/>
      <c r="AL728" s="1694"/>
      <c r="AM728" s="1668" t="str">
        <f t="shared" si="28"/>
        <v xml:space="preserve"> </v>
      </c>
      <c r="AN728" s="1669"/>
      <c r="AO728" s="1670"/>
      <c r="BA728" s="326"/>
      <c r="BB728" s="326"/>
      <c r="BC728" s="326"/>
      <c r="BD728" s="326"/>
      <c r="BE728" s="807"/>
      <c r="BF728" s="807"/>
      <c r="BG728" s="1452">
        <f t="shared" si="29"/>
        <v>0</v>
      </c>
      <c r="BH728" s="1456">
        <f t="shared" si="30"/>
        <v>0</v>
      </c>
      <c r="BI728" s="1457" t="str">
        <f t="shared" si="31"/>
        <v xml:space="preserve"> </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88"/>
      <c r="B729" s="1742" t="s">
        <v>976</v>
      </c>
      <c r="C729" s="1743"/>
      <c r="D729" s="1743"/>
      <c r="E729" s="1743"/>
      <c r="F729" s="1745"/>
      <c r="G729" s="1978">
        <f>SUM(G704:J728)</f>
        <v>62</v>
      </c>
      <c r="H729" s="1979"/>
      <c r="I729" s="1979"/>
      <c r="J729" s="1980"/>
      <c r="K729" s="1388"/>
      <c r="L729" s="1388"/>
      <c r="M729" s="1388"/>
      <c r="N729" s="1388"/>
      <c r="O729" s="683" t="s">
        <v>975</v>
      </c>
      <c r="P729" s="684"/>
      <c r="Q729" s="684"/>
      <c r="R729" s="684"/>
      <c r="S729" s="1442"/>
      <c r="T729" s="1638">
        <f>SUM(T704:X728)</f>
        <v>65976.2</v>
      </c>
      <c r="U729" s="1639"/>
      <c r="V729" s="1639"/>
      <c r="W729" s="1639"/>
      <c r="X729" s="1640"/>
      <c r="Y729" s="1388"/>
      <c r="Z729" s="1388"/>
      <c r="AA729" s="1388"/>
      <c r="AB729" s="1388"/>
      <c r="AC729" s="1443" t="s">
        <v>1262</v>
      </c>
      <c r="AD729" s="1444"/>
      <c r="AE729" s="1444"/>
      <c r="AF729" s="1444"/>
      <c r="AG729" s="1445"/>
      <c r="AH729" s="1671">
        <f>BI713</f>
        <v>0</v>
      </c>
      <c r="AI729" s="1672"/>
      <c r="AJ729" s="1672"/>
      <c r="AK729" s="1672"/>
      <c r="AL729" s="1673"/>
      <c r="AM729" s="1671">
        <f>BI744</f>
        <v>0.44999999999999996</v>
      </c>
      <c r="AN729" s="1672"/>
      <c r="AO729" s="1673"/>
      <c r="BA729" s="326"/>
      <c r="BB729" s="326"/>
      <c r="BC729" s="326"/>
      <c r="BD729" s="326"/>
      <c r="BE729" s="807"/>
      <c r="BF729" s="807"/>
      <c r="BG729" s="1452">
        <f t="shared" si="29"/>
        <v>0</v>
      </c>
      <c r="BH729" s="1456">
        <f t="shared" si="30"/>
        <v>0</v>
      </c>
      <c r="BI729" s="1457" t="str">
        <f t="shared" si="31"/>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2">
        <f t="shared" si="29"/>
        <v>0</v>
      </c>
      <c r="BH730" s="1456">
        <f t="shared" si="30"/>
        <v>0</v>
      </c>
      <c r="BI730" s="1457" t="str">
        <f t="shared" si="31"/>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878" t="s">
        <v>136</v>
      </c>
      <c r="AG731" s="1878"/>
      <c r="AH731" s="1878"/>
      <c r="AL731" s="72"/>
      <c r="AM731" s="72"/>
      <c r="BA731" s="72"/>
      <c r="BB731" s="72"/>
      <c r="BC731" s="72"/>
      <c r="BD731" s="72"/>
      <c r="BE731" s="72"/>
      <c r="BF731" s="72"/>
      <c r="BG731" s="1452">
        <f t="shared" si="29"/>
        <v>0</v>
      </c>
      <c r="BH731" s="1456">
        <f t="shared" si="30"/>
        <v>0</v>
      </c>
      <c r="BI731" s="1457"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2">
        <f t="shared" si="29"/>
        <v>0</v>
      </c>
      <c r="BH732" s="1456">
        <f t="shared" si="30"/>
        <v>0</v>
      </c>
      <c r="BI732" s="1457"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2">
        <f t="shared" si="29"/>
        <v>0</v>
      </c>
      <c r="BH733" s="1456">
        <f t="shared" si="30"/>
        <v>0</v>
      </c>
      <c r="BI733" s="1457"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2">
        <f t="shared" si="29"/>
        <v>0</v>
      </c>
      <c r="BH734" s="1456">
        <f t="shared" si="30"/>
        <v>0</v>
      </c>
      <c r="BI734" s="1457"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2">
        <f t="shared" si="29"/>
        <v>0</v>
      </c>
      <c r="BH735" s="1456">
        <f t="shared" si="30"/>
        <v>0</v>
      </c>
      <c r="BI735" s="1457"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1871" t="s">
        <v>1704</v>
      </c>
      <c r="D736" s="1871"/>
      <c r="E736" s="1871"/>
      <c r="F736" s="1871"/>
      <c r="G736" s="1871"/>
      <c r="H736" s="1871"/>
      <c r="I736" s="1871"/>
      <c r="J736" s="1871"/>
      <c r="K736" s="1871"/>
      <c r="L736" s="1871"/>
      <c r="M736" s="1871"/>
      <c r="N736" s="1871"/>
      <c r="O736" s="1871"/>
      <c r="P736" s="1871"/>
      <c r="Q736" s="1871"/>
      <c r="R736" s="1871"/>
      <c r="S736" s="1871"/>
      <c r="T736" s="1871"/>
      <c r="U736" s="1871"/>
      <c r="V736" s="1871"/>
      <c r="W736" s="1871"/>
      <c r="X736" s="1871"/>
      <c r="Y736" s="1871"/>
      <c r="Z736" s="1871"/>
      <c r="AA736" s="1871"/>
      <c r="AB736" s="1871"/>
      <c r="AC736" s="1871"/>
      <c r="AD736" s="1871"/>
      <c r="AE736" s="1871"/>
      <c r="AF736" s="1871"/>
      <c r="AG736" s="1871"/>
      <c r="AH736" s="1871"/>
      <c r="AI736" s="1871"/>
      <c r="AJ736" s="1871"/>
      <c r="AK736" s="1871"/>
      <c r="AM736" s="72"/>
      <c r="BA736" s="72"/>
      <c r="BB736" s="72"/>
      <c r="BC736" s="72"/>
      <c r="BD736" s="72"/>
      <c r="BE736" s="72"/>
      <c r="BF736" s="72"/>
      <c r="BG736" s="1452">
        <f t="shared" si="29"/>
        <v>0</v>
      </c>
      <c r="BH736" s="1456">
        <f t="shared" si="30"/>
        <v>0</v>
      </c>
      <c r="BI736" s="1457"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1871"/>
      <c r="D737" s="1871"/>
      <c r="E737" s="1871"/>
      <c r="F737" s="1871"/>
      <c r="G737" s="1871"/>
      <c r="H737" s="1871"/>
      <c r="I737" s="1871"/>
      <c r="J737" s="1871"/>
      <c r="K737" s="1871"/>
      <c r="L737" s="1871"/>
      <c r="M737" s="1871"/>
      <c r="N737" s="1871"/>
      <c r="O737" s="1871"/>
      <c r="P737" s="1871"/>
      <c r="Q737" s="1871"/>
      <c r="R737" s="1871"/>
      <c r="S737" s="1871"/>
      <c r="T737" s="1871"/>
      <c r="U737" s="1871"/>
      <c r="V737" s="1871"/>
      <c r="W737" s="1871"/>
      <c r="X737" s="1871"/>
      <c r="Y737" s="1871"/>
      <c r="Z737" s="1871"/>
      <c r="AA737" s="1871"/>
      <c r="AB737" s="1871"/>
      <c r="AC737" s="1871"/>
      <c r="AD737" s="1871"/>
      <c r="AE737" s="1871"/>
      <c r="AF737" s="1871"/>
      <c r="AG737" s="1871"/>
      <c r="AH737" s="1871"/>
      <c r="AI737" s="1871"/>
      <c r="AJ737" s="1871"/>
      <c r="AK737" s="1871"/>
      <c r="AM737" s="72"/>
      <c r="BA737" s="72"/>
      <c r="BB737" s="72"/>
      <c r="BC737" s="72"/>
      <c r="BD737" s="72"/>
      <c r="BE737" s="72"/>
      <c r="BF737" s="72"/>
      <c r="BG737" s="1452">
        <f t="shared" si="29"/>
        <v>0</v>
      </c>
      <c r="BH737" s="1456">
        <f t="shared" si="30"/>
        <v>0</v>
      </c>
      <c r="BI737" s="1457"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65" customHeight="1">
      <c r="A738" s="63"/>
      <c r="B738" s="105"/>
      <c r="C738" s="1871"/>
      <c r="D738" s="1871"/>
      <c r="E738" s="1871"/>
      <c r="F738" s="1871"/>
      <c r="G738" s="1871"/>
      <c r="H738" s="1871"/>
      <c r="I738" s="1871"/>
      <c r="J738" s="1871"/>
      <c r="K738" s="1871"/>
      <c r="L738" s="1871"/>
      <c r="M738" s="1871"/>
      <c r="N738" s="1871"/>
      <c r="O738" s="1871"/>
      <c r="P738" s="1871"/>
      <c r="Q738" s="1871"/>
      <c r="R738" s="1871"/>
      <c r="S738" s="1871"/>
      <c r="T738" s="1871"/>
      <c r="U738" s="1871"/>
      <c r="V738" s="1871"/>
      <c r="W738" s="1871"/>
      <c r="X738" s="1871"/>
      <c r="Y738" s="1871"/>
      <c r="Z738" s="1871"/>
      <c r="AA738" s="1871"/>
      <c r="AB738" s="1871"/>
      <c r="AC738" s="1871"/>
      <c r="AD738" s="1871"/>
      <c r="AE738" s="1871"/>
      <c r="AF738" s="1871"/>
      <c r="AG738" s="1871"/>
      <c r="AH738" s="1871"/>
      <c r="AI738" s="1871"/>
      <c r="AJ738" s="1871"/>
      <c r="AK738" s="1871"/>
      <c r="AM738" s="72"/>
      <c r="BA738" s="72"/>
      <c r="BB738" s="72"/>
      <c r="BC738" s="72"/>
      <c r="BD738" s="72"/>
      <c r="BE738" s="72"/>
      <c r="BF738" s="72"/>
      <c r="BG738" s="1452">
        <f t="shared" si="29"/>
        <v>0</v>
      </c>
      <c r="BH738" s="1456">
        <f t="shared" si="30"/>
        <v>0</v>
      </c>
      <c r="BI738" s="1457"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1871"/>
      <c r="D739" s="1871"/>
      <c r="E739" s="1871"/>
      <c r="F739" s="1871"/>
      <c r="G739" s="1871"/>
      <c r="H739" s="1871"/>
      <c r="I739" s="1871"/>
      <c r="J739" s="1871"/>
      <c r="K739" s="1871"/>
      <c r="L739" s="1871"/>
      <c r="M739" s="1871"/>
      <c r="N739" s="1871"/>
      <c r="O739" s="1871"/>
      <c r="P739" s="1871"/>
      <c r="Q739" s="1871"/>
      <c r="R739" s="1871"/>
      <c r="S739" s="1871"/>
      <c r="T739" s="1871"/>
      <c r="U739" s="1871"/>
      <c r="V739" s="1871"/>
      <c r="W739" s="1871"/>
      <c r="X739" s="1871"/>
      <c r="Y739" s="1871"/>
      <c r="Z739" s="1871"/>
      <c r="AA739" s="1871"/>
      <c r="AB739" s="1871"/>
      <c r="AC739" s="1871"/>
      <c r="AD739" s="1871"/>
      <c r="AE739" s="1871"/>
      <c r="AF739" s="1871"/>
      <c r="AG739" s="1871"/>
      <c r="AH739" s="1871"/>
      <c r="AI739" s="1871"/>
      <c r="AJ739" s="1871"/>
      <c r="AK739" s="1871"/>
      <c r="AM739" s="72"/>
      <c r="BA739" s="72"/>
      <c r="BB739" s="72"/>
      <c r="BC739" s="72"/>
      <c r="BD739" s="72"/>
      <c r="BE739" s="72"/>
      <c r="BF739" s="72"/>
      <c r="BG739" s="1452">
        <f t="shared" si="29"/>
        <v>0</v>
      </c>
      <c r="BH739" s="1456">
        <f t="shared" si="30"/>
        <v>0</v>
      </c>
      <c r="BI739" s="1457"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1871"/>
      <c r="D740" s="1871"/>
      <c r="E740" s="1871"/>
      <c r="F740" s="1871"/>
      <c r="G740" s="1871"/>
      <c r="H740" s="1871"/>
      <c r="I740" s="1871"/>
      <c r="J740" s="1871"/>
      <c r="K740" s="1871"/>
      <c r="L740" s="1871"/>
      <c r="M740" s="1871"/>
      <c r="N740" s="1871"/>
      <c r="O740" s="1871"/>
      <c r="P740" s="1871"/>
      <c r="Q740" s="1871"/>
      <c r="R740" s="1871"/>
      <c r="S740" s="1871"/>
      <c r="T740" s="1871"/>
      <c r="U740" s="1871"/>
      <c r="V740" s="1871"/>
      <c r="W740" s="1871"/>
      <c r="X740" s="1871"/>
      <c r="Y740" s="1871"/>
      <c r="Z740" s="1871"/>
      <c r="AA740" s="1871"/>
      <c r="AB740" s="1871"/>
      <c r="AC740" s="1871"/>
      <c r="AD740" s="1871"/>
      <c r="AE740" s="1871"/>
      <c r="AF740" s="1871"/>
      <c r="AG740" s="1871"/>
      <c r="AH740" s="1871"/>
      <c r="AI740" s="1871"/>
      <c r="AJ740" s="1871"/>
      <c r="AK740" s="1871"/>
      <c r="AM740" s="72"/>
      <c r="BA740" s="72"/>
      <c r="BB740" s="72"/>
      <c r="BC740" s="72"/>
      <c r="BD740" s="72"/>
      <c r="BE740" s="72"/>
      <c r="BF740" s="72"/>
      <c r="BG740" s="1452">
        <f t="shared" si="29"/>
        <v>0</v>
      </c>
      <c r="BH740" s="1456">
        <f t="shared" si="30"/>
        <v>0</v>
      </c>
      <c r="BI740" s="1457"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871"/>
      <c r="D741" s="1871"/>
      <c r="E741" s="1871"/>
      <c r="F741" s="1871"/>
      <c r="G741" s="1871"/>
      <c r="H741" s="1871"/>
      <c r="I741" s="1871"/>
      <c r="J741" s="1871"/>
      <c r="K741" s="1871"/>
      <c r="L741" s="1871"/>
      <c r="M741" s="1871"/>
      <c r="N741" s="1871"/>
      <c r="O741" s="1871"/>
      <c r="P741" s="1871"/>
      <c r="Q741" s="1871"/>
      <c r="R741" s="1871"/>
      <c r="S741" s="1871"/>
      <c r="T741" s="1871"/>
      <c r="U741" s="1871"/>
      <c r="V741" s="1871"/>
      <c r="W741" s="1871"/>
      <c r="X741" s="1871"/>
      <c r="Y741" s="1871"/>
      <c r="Z741" s="1871"/>
      <c r="AA741" s="1871"/>
      <c r="AB741" s="1871"/>
      <c r="AC741" s="1871"/>
      <c r="AD741" s="1871"/>
      <c r="AE741" s="1871"/>
      <c r="AF741" s="1871"/>
      <c r="AG741" s="1871"/>
      <c r="AH741" s="1871"/>
      <c r="AI741" s="1871"/>
      <c r="AJ741" s="1871"/>
      <c r="AK741" s="1871"/>
      <c r="AM741" s="72"/>
      <c r="BA741" s="72"/>
      <c r="BB741" s="72"/>
      <c r="BC741" s="72"/>
      <c r="BD741" s="72"/>
      <c r="BE741" s="72"/>
      <c r="BF741" s="72"/>
      <c r="BG741" s="1452">
        <f t="shared" si="29"/>
        <v>0</v>
      </c>
      <c r="BH741" s="1456">
        <f t="shared" si="30"/>
        <v>0</v>
      </c>
      <c r="BI741" s="1457"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871"/>
      <c r="D742" s="1871"/>
      <c r="E742" s="1871"/>
      <c r="F742" s="1871"/>
      <c r="G742" s="1871"/>
      <c r="H742" s="1871"/>
      <c r="I742" s="1871"/>
      <c r="J742" s="1871"/>
      <c r="K742" s="1871"/>
      <c r="L742" s="1871"/>
      <c r="M742" s="1871"/>
      <c r="N742" s="1871"/>
      <c r="O742" s="1871"/>
      <c r="P742" s="1871"/>
      <c r="Q742" s="1871"/>
      <c r="R742" s="1871"/>
      <c r="S742" s="1871"/>
      <c r="T742" s="1871"/>
      <c r="U742" s="1871"/>
      <c r="V742" s="1871"/>
      <c r="W742" s="1871"/>
      <c r="X742" s="1871"/>
      <c r="Y742" s="1871"/>
      <c r="Z742" s="1871"/>
      <c r="AA742" s="1871"/>
      <c r="AB742" s="1871"/>
      <c r="AC742" s="1871"/>
      <c r="AD742" s="1871"/>
      <c r="AE742" s="1871"/>
      <c r="AF742" s="1871"/>
      <c r="AG742" s="1871"/>
      <c r="AH742" s="1871"/>
      <c r="AI742" s="1871"/>
      <c r="AJ742" s="1871"/>
      <c r="AK742" s="1871"/>
      <c r="AM742" s="72"/>
      <c r="BA742" s="72"/>
      <c r="BB742" s="72"/>
      <c r="BC742" s="72"/>
      <c r="BD742" s="72"/>
      <c r="BE742" s="72"/>
      <c r="BF742" s="72"/>
      <c r="BG742" s="1452">
        <f t="shared" si="29"/>
        <v>0</v>
      </c>
      <c r="BH742" s="1456">
        <f t="shared" si="30"/>
        <v>0</v>
      </c>
      <c r="BI742" s="1457"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1871"/>
      <c r="D743" s="1871"/>
      <c r="E743" s="1871"/>
      <c r="F743" s="1871"/>
      <c r="G743" s="1871"/>
      <c r="H743" s="1871"/>
      <c r="I743" s="1871"/>
      <c r="J743" s="1871"/>
      <c r="K743" s="1871"/>
      <c r="L743" s="1871"/>
      <c r="M743" s="1871"/>
      <c r="N743" s="1871"/>
      <c r="O743" s="1871"/>
      <c r="P743" s="1871"/>
      <c r="Q743" s="1871"/>
      <c r="R743" s="1871"/>
      <c r="S743" s="1871"/>
      <c r="T743" s="1871"/>
      <c r="U743" s="1871"/>
      <c r="V743" s="1871"/>
      <c r="W743" s="1871"/>
      <c r="X743" s="1871"/>
      <c r="Y743" s="1871"/>
      <c r="Z743" s="1871"/>
      <c r="AA743" s="1871"/>
      <c r="AB743" s="1871"/>
      <c r="AC743" s="1871"/>
      <c r="AD743" s="1871"/>
      <c r="AE743" s="1871"/>
      <c r="AF743" s="1871"/>
      <c r="AG743" s="1871"/>
      <c r="AH743" s="1871"/>
      <c r="AI743" s="1871"/>
      <c r="AJ743" s="1871"/>
      <c r="AK743" s="1871"/>
      <c r="AM743" s="72"/>
      <c r="BA743" s="72"/>
      <c r="BB743" s="72"/>
      <c r="BC743" s="72"/>
      <c r="BD743" s="72"/>
      <c r="BE743" s="72"/>
      <c r="BF743" s="72"/>
      <c r="BG743" s="1455">
        <f t="shared" si="29"/>
        <v>0</v>
      </c>
      <c r="BH743" s="1456">
        <f t="shared" si="30"/>
        <v>0</v>
      </c>
      <c r="BI743" s="1457"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1871"/>
      <c r="D744" s="1871"/>
      <c r="E744" s="1871"/>
      <c r="F744" s="1871"/>
      <c r="G744" s="1871"/>
      <c r="H744" s="1871"/>
      <c r="I744" s="1871"/>
      <c r="J744" s="1871"/>
      <c r="K744" s="1871"/>
      <c r="L744" s="1871"/>
      <c r="M744" s="1871"/>
      <c r="N744" s="1871"/>
      <c r="O744" s="1871"/>
      <c r="P744" s="1871"/>
      <c r="Q744" s="1871"/>
      <c r="R744" s="1871"/>
      <c r="S744" s="1871"/>
      <c r="T744" s="1871"/>
      <c r="U744" s="1871"/>
      <c r="V744" s="1871"/>
      <c r="W744" s="1871"/>
      <c r="X744" s="1871"/>
      <c r="Y744" s="1871"/>
      <c r="Z744" s="1871"/>
      <c r="AA744" s="1871"/>
      <c r="AB744" s="1871"/>
      <c r="AC744" s="1871"/>
      <c r="AD744" s="1871"/>
      <c r="AE744" s="1871"/>
      <c r="AF744" s="1871"/>
      <c r="AG744" s="1871"/>
      <c r="AH744" s="1871"/>
      <c r="AI744" s="1871"/>
      <c r="AJ744" s="1871"/>
      <c r="AK744" s="1871"/>
      <c r="AM744" s="72"/>
      <c r="BA744" s="72"/>
      <c r="BB744" s="72"/>
      <c r="BC744" s="72"/>
      <c r="BD744" s="72"/>
      <c r="BE744" s="72"/>
      <c r="BF744" s="72"/>
      <c r="BG744" s="1453">
        <f>SUM(BG719:BG743)</f>
        <v>62</v>
      </c>
      <c r="BH744" s="1454">
        <f>SUM(BH719:BH743)</f>
        <v>0.99999999999999989</v>
      </c>
      <c r="BI744" s="1454">
        <f>SUM(BI719:BI743)</f>
        <v>0.44999999999999996</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683" t="s">
        <v>59</v>
      </c>
      <c r="K746" s="1684"/>
      <c r="L746" s="1684"/>
      <c r="M746" s="1684"/>
      <c r="N746" s="1685"/>
      <c r="O746" s="1917" t="s">
        <v>284</v>
      </c>
      <c r="P746" s="1917"/>
      <c r="Q746" s="1917"/>
      <c r="R746" s="1917"/>
      <c r="S746" s="1917"/>
      <c r="T746" s="1674" t="s">
        <v>2297</v>
      </c>
      <c r="U746" s="1675"/>
      <c r="V746" s="1675"/>
      <c r="W746" s="1676"/>
      <c r="X746" s="1683" t="s">
        <v>655</v>
      </c>
      <c r="Y746" s="1684"/>
      <c r="Z746" s="1684"/>
      <c r="AA746" s="1684"/>
      <c r="AB746" s="1685"/>
      <c r="AC746" s="1683" t="s">
        <v>285</v>
      </c>
      <c r="AD746" s="1684"/>
      <c r="AE746" s="1684"/>
      <c r="AF746" s="1684"/>
      <c r="AG746" s="1685"/>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686"/>
      <c r="K747" s="1687"/>
      <c r="L747" s="1687"/>
      <c r="M747" s="1687"/>
      <c r="N747" s="1688"/>
      <c r="O747" s="1917"/>
      <c r="P747" s="1917"/>
      <c r="Q747" s="1917"/>
      <c r="R747" s="1917"/>
      <c r="S747" s="1917"/>
      <c r="T747" s="1677"/>
      <c r="U747" s="1678"/>
      <c r="V747" s="1678"/>
      <c r="W747" s="1679"/>
      <c r="X747" s="1686"/>
      <c r="Y747" s="1687"/>
      <c r="Z747" s="1687"/>
      <c r="AA747" s="1687"/>
      <c r="AB747" s="1688"/>
      <c r="AC747" s="1686"/>
      <c r="AD747" s="1687"/>
      <c r="AE747" s="1687"/>
      <c r="AF747" s="1687"/>
      <c r="AG747" s="168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686"/>
      <c r="K748" s="1687"/>
      <c r="L748" s="1687"/>
      <c r="M748" s="1687"/>
      <c r="N748" s="1688"/>
      <c r="O748" s="1917"/>
      <c r="P748" s="1917"/>
      <c r="Q748" s="1917"/>
      <c r="R748" s="1917"/>
      <c r="S748" s="1917"/>
      <c r="T748" s="1677"/>
      <c r="U748" s="1678"/>
      <c r="V748" s="1678"/>
      <c r="W748" s="1679"/>
      <c r="X748" s="1686"/>
      <c r="Y748" s="1687"/>
      <c r="Z748" s="1687"/>
      <c r="AA748" s="1687"/>
      <c r="AB748" s="1688"/>
      <c r="AC748" s="1686"/>
      <c r="AD748" s="1687"/>
      <c r="AE748" s="1687"/>
      <c r="AF748" s="1687"/>
      <c r="AG748" s="168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689"/>
      <c r="K749" s="1690"/>
      <c r="L749" s="1690"/>
      <c r="M749" s="1690"/>
      <c r="N749" s="1691"/>
      <c r="O749" s="1917"/>
      <c r="P749" s="1917"/>
      <c r="Q749" s="1917"/>
      <c r="R749" s="1917"/>
      <c r="S749" s="1917"/>
      <c r="T749" s="1680"/>
      <c r="U749" s="1681"/>
      <c r="V749" s="1681"/>
      <c r="W749" s="1682"/>
      <c r="X749" s="1689"/>
      <c r="Y749" s="1690"/>
      <c r="Z749" s="1690"/>
      <c r="AA749" s="1690"/>
      <c r="AB749" s="1691"/>
      <c r="AC749" s="1689"/>
      <c r="AD749" s="1690"/>
      <c r="AE749" s="1690"/>
      <c r="AF749" s="1690"/>
      <c r="AG749" s="169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646" t="s">
        <v>854</v>
      </c>
      <c r="K750" s="1647"/>
      <c r="L750" s="1647"/>
      <c r="M750" s="1647"/>
      <c r="N750" s="1648"/>
      <c r="O750" s="1649">
        <v>1</v>
      </c>
      <c r="P750" s="1649"/>
      <c r="Q750" s="1649"/>
      <c r="R750" s="1649"/>
      <c r="S750" s="1649"/>
      <c r="T750" s="1632">
        <v>1175</v>
      </c>
      <c r="U750" s="1633"/>
      <c r="V750" s="1633"/>
      <c r="W750" s="1634"/>
      <c r="X750" s="1635"/>
      <c r="Y750" s="1636"/>
      <c r="Z750" s="1636"/>
      <c r="AA750" s="1636"/>
      <c r="AB750" s="1637"/>
      <c r="AC750" s="1638">
        <f>X750*O750</f>
        <v>0</v>
      </c>
      <c r="AD750" s="1639"/>
      <c r="AE750" s="1639"/>
      <c r="AF750" s="1639"/>
      <c r="AG750" s="164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646"/>
      <c r="K751" s="1647"/>
      <c r="L751" s="1647"/>
      <c r="M751" s="1647"/>
      <c r="N751" s="1648"/>
      <c r="O751" s="1649"/>
      <c r="P751" s="1649"/>
      <c r="Q751" s="1649"/>
      <c r="R751" s="1649"/>
      <c r="S751" s="1649"/>
      <c r="T751" s="1632"/>
      <c r="U751" s="1633"/>
      <c r="V751" s="1633"/>
      <c r="W751" s="1634"/>
      <c r="X751" s="1635"/>
      <c r="Y751" s="1636"/>
      <c r="Z751" s="1636"/>
      <c r="AA751" s="1636"/>
      <c r="AB751" s="1637"/>
      <c r="AC751" s="1638">
        <f>X751*O751</f>
        <v>0</v>
      </c>
      <c r="AD751" s="1639"/>
      <c r="AE751" s="1639"/>
      <c r="AF751" s="1639"/>
      <c r="AG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646"/>
      <c r="K752" s="1647"/>
      <c r="L752" s="1647"/>
      <c r="M752" s="1647"/>
      <c r="N752" s="1648"/>
      <c r="O752" s="1649"/>
      <c r="P752" s="1649"/>
      <c r="Q752" s="1649"/>
      <c r="R752" s="1649"/>
      <c r="S752" s="1649"/>
      <c r="T752" s="1632"/>
      <c r="U752" s="1633"/>
      <c r="V752" s="1633"/>
      <c r="W752" s="1634"/>
      <c r="X752" s="1635"/>
      <c r="Y752" s="1636"/>
      <c r="Z752" s="1636"/>
      <c r="AA752" s="1636"/>
      <c r="AB752" s="1637"/>
      <c r="AC752" s="1638">
        <f>X752*O752</f>
        <v>0</v>
      </c>
      <c r="AD752" s="1639"/>
      <c r="AE752" s="1639"/>
      <c r="AF752" s="1639"/>
      <c r="AG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646"/>
      <c r="K753" s="1647"/>
      <c r="L753" s="1647"/>
      <c r="M753" s="1647"/>
      <c r="N753" s="1648"/>
      <c r="O753" s="1649"/>
      <c r="P753" s="1649"/>
      <c r="Q753" s="1649"/>
      <c r="R753" s="1649"/>
      <c r="S753" s="1649"/>
      <c r="T753" s="1632"/>
      <c r="U753" s="1633"/>
      <c r="V753" s="1633"/>
      <c r="W753" s="1634"/>
      <c r="X753" s="1635"/>
      <c r="Y753" s="1636"/>
      <c r="Z753" s="1636"/>
      <c r="AA753" s="1636"/>
      <c r="AB753" s="1637"/>
      <c r="AC753" s="1638">
        <f>X753*O753</f>
        <v>0</v>
      </c>
      <c r="AD753" s="1639"/>
      <c r="AE753" s="1639"/>
      <c r="AF753" s="1639"/>
      <c r="AG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42" t="s">
        <v>976</v>
      </c>
      <c r="K754" s="1743"/>
      <c r="L754" s="1743"/>
      <c r="M754" s="1743"/>
      <c r="N754" s="1745"/>
      <c r="O754" s="1914">
        <f>SUM(O750:S753)</f>
        <v>1</v>
      </c>
      <c r="P754" s="1915"/>
      <c r="Q754" s="1915"/>
      <c r="R754" s="1915"/>
      <c r="S754" s="1916"/>
      <c r="X754" s="1886" t="s">
        <v>975</v>
      </c>
      <c r="Y754" s="1887"/>
      <c r="Z754" s="1887"/>
      <c r="AA754" s="1887"/>
      <c r="AB754" s="1888"/>
      <c r="AC754" s="1638">
        <f>SUM(AC750:AG753)</f>
        <v>0</v>
      </c>
      <c r="AD754" s="1639"/>
      <c r="AE754" s="1639"/>
      <c r="AF754" s="1639"/>
      <c r="AG754" s="16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757" t="s">
        <v>531</v>
      </c>
      <c r="K756" s="1757"/>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683" t="s">
        <v>59</v>
      </c>
      <c r="K760" s="1684"/>
      <c r="L760" s="1684"/>
      <c r="M760" s="1684"/>
      <c r="N760" s="1685"/>
      <c r="O760" s="1917" t="s">
        <v>284</v>
      </c>
      <c r="P760" s="1917"/>
      <c r="Q760" s="1917"/>
      <c r="R760" s="1917"/>
      <c r="S760" s="1917"/>
      <c r="T760" s="1674" t="s">
        <v>2297</v>
      </c>
      <c r="U760" s="1675"/>
      <c r="V760" s="1675"/>
      <c r="W760" s="1676"/>
      <c r="X760" s="1683" t="s">
        <v>655</v>
      </c>
      <c r="Y760" s="1684"/>
      <c r="Z760" s="1684"/>
      <c r="AA760" s="1684"/>
      <c r="AB760" s="1685"/>
      <c r="AC760" s="1683" t="s">
        <v>285</v>
      </c>
      <c r="AD760" s="1684"/>
      <c r="AE760" s="1684"/>
      <c r="AF760" s="1684"/>
      <c r="AG760" s="168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686"/>
      <c r="K761" s="1687"/>
      <c r="L761" s="1687"/>
      <c r="M761" s="1687"/>
      <c r="N761" s="1688"/>
      <c r="O761" s="1917"/>
      <c r="P761" s="1917"/>
      <c r="Q761" s="1917"/>
      <c r="R761" s="1917"/>
      <c r="S761" s="1917"/>
      <c r="T761" s="1677"/>
      <c r="U761" s="1678"/>
      <c r="V761" s="1678"/>
      <c r="W761" s="1679"/>
      <c r="X761" s="1686"/>
      <c r="Y761" s="1687"/>
      <c r="Z761" s="1687"/>
      <c r="AA761" s="1687"/>
      <c r="AB761" s="1688"/>
      <c r="AC761" s="1686"/>
      <c r="AD761" s="1687"/>
      <c r="AE761" s="1687"/>
      <c r="AF761" s="1687"/>
      <c r="AG761" s="168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686"/>
      <c r="K762" s="1687"/>
      <c r="L762" s="1687"/>
      <c r="M762" s="1687"/>
      <c r="N762" s="1688"/>
      <c r="O762" s="1917"/>
      <c r="P762" s="1917"/>
      <c r="Q762" s="1917"/>
      <c r="R762" s="1917"/>
      <c r="S762" s="1917"/>
      <c r="T762" s="1677"/>
      <c r="U762" s="1678"/>
      <c r="V762" s="1678"/>
      <c r="W762" s="1679"/>
      <c r="X762" s="1686"/>
      <c r="Y762" s="1687"/>
      <c r="Z762" s="1687"/>
      <c r="AA762" s="1687"/>
      <c r="AB762" s="1688"/>
      <c r="AC762" s="1686"/>
      <c r="AD762" s="1687"/>
      <c r="AE762" s="1687"/>
      <c r="AF762" s="1687"/>
      <c r="AG762" s="168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689"/>
      <c r="K763" s="1690"/>
      <c r="L763" s="1690"/>
      <c r="M763" s="1690"/>
      <c r="N763" s="1691"/>
      <c r="O763" s="1917"/>
      <c r="P763" s="1917"/>
      <c r="Q763" s="1917"/>
      <c r="R763" s="1917"/>
      <c r="S763" s="1917"/>
      <c r="T763" s="1680"/>
      <c r="U763" s="1681"/>
      <c r="V763" s="1681"/>
      <c r="W763" s="1682"/>
      <c r="X763" s="1689"/>
      <c r="Y763" s="1690"/>
      <c r="Z763" s="1690"/>
      <c r="AA763" s="1690"/>
      <c r="AB763" s="1691"/>
      <c r="AC763" s="1689"/>
      <c r="AD763" s="1690"/>
      <c r="AE763" s="1690"/>
      <c r="AF763" s="1690"/>
      <c r="AG763" s="169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646"/>
      <c r="K764" s="1647"/>
      <c r="L764" s="1647"/>
      <c r="M764" s="1647"/>
      <c r="N764" s="1648"/>
      <c r="O764" s="1649"/>
      <c r="P764" s="1649"/>
      <c r="Q764" s="1649"/>
      <c r="R764" s="1649"/>
      <c r="S764" s="1649"/>
      <c r="T764" s="1632"/>
      <c r="U764" s="1633"/>
      <c r="V764" s="1633"/>
      <c r="W764" s="1634"/>
      <c r="X764" s="1635"/>
      <c r="Y764" s="1636"/>
      <c r="Z764" s="1636"/>
      <c r="AA764" s="1636"/>
      <c r="AB764" s="1637"/>
      <c r="AC764" s="1638">
        <f t="shared" ref="AC764:AC773" si="32">X764*O764</f>
        <v>0</v>
      </c>
      <c r="AD764" s="1639"/>
      <c r="AE764" s="1639"/>
      <c r="AF764" s="1639"/>
      <c r="AG764" s="164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646"/>
      <c r="K765" s="1647"/>
      <c r="L765" s="1647"/>
      <c r="M765" s="1647"/>
      <c r="N765" s="1648"/>
      <c r="O765" s="1649"/>
      <c r="P765" s="1649"/>
      <c r="Q765" s="1649"/>
      <c r="R765" s="1649"/>
      <c r="S765" s="1649"/>
      <c r="T765" s="1632"/>
      <c r="U765" s="1633"/>
      <c r="V765" s="1633"/>
      <c r="W765" s="1634"/>
      <c r="X765" s="1635"/>
      <c r="Y765" s="1636"/>
      <c r="Z765" s="1636"/>
      <c r="AA765" s="1636"/>
      <c r="AB765" s="1637"/>
      <c r="AC765" s="1638">
        <f t="shared" si="32"/>
        <v>0</v>
      </c>
      <c r="AD765" s="1639"/>
      <c r="AE765" s="1639"/>
      <c r="AF765" s="1639"/>
      <c r="AG765" s="164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646"/>
      <c r="K766" s="1647"/>
      <c r="L766" s="1647"/>
      <c r="M766" s="1647"/>
      <c r="N766" s="1648"/>
      <c r="O766" s="1649"/>
      <c r="P766" s="1649"/>
      <c r="Q766" s="1649"/>
      <c r="R766" s="1649"/>
      <c r="S766" s="1649"/>
      <c r="T766" s="1632"/>
      <c r="U766" s="1633"/>
      <c r="V766" s="1633"/>
      <c r="W766" s="1634"/>
      <c r="X766" s="1635"/>
      <c r="Y766" s="1636"/>
      <c r="Z766" s="1636"/>
      <c r="AA766" s="1636"/>
      <c r="AB766" s="1637"/>
      <c r="AC766" s="1638">
        <f t="shared" si="32"/>
        <v>0</v>
      </c>
      <c r="AD766" s="1639"/>
      <c r="AE766" s="1639"/>
      <c r="AF766" s="1639"/>
      <c r="AG766" s="16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646"/>
      <c r="K767" s="1647"/>
      <c r="L767" s="1647"/>
      <c r="M767" s="1647"/>
      <c r="N767" s="1648"/>
      <c r="O767" s="1649"/>
      <c r="P767" s="1649"/>
      <c r="Q767" s="1649"/>
      <c r="R767" s="1649"/>
      <c r="S767" s="1649"/>
      <c r="T767" s="1632"/>
      <c r="U767" s="1633"/>
      <c r="V767" s="1633"/>
      <c r="W767" s="1634"/>
      <c r="X767" s="1635"/>
      <c r="Y767" s="1636"/>
      <c r="Z767" s="1636"/>
      <c r="AA767" s="1636"/>
      <c r="AB767" s="1637"/>
      <c r="AC767" s="1638">
        <f t="shared" si="32"/>
        <v>0</v>
      </c>
      <c r="AD767" s="1639"/>
      <c r="AE767" s="1639"/>
      <c r="AF767" s="1639"/>
      <c r="AG767" s="164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646"/>
      <c r="K768" s="1647"/>
      <c r="L768" s="1647"/>
      <c r="M768" s="1647"/>
      <c r="N768" s="1648"/>
      <c r="O768" s="1649"/>
      <c r="P768" s="1649"/>
      <c r="Q768" s="1649"/>
      <c r="R768" s="1649"/>
      <c r="S768" s="1649"/>
      <c r="T768" s="1632"/>
      <c r="U768" s="1633"/>
      <c r="V768" s="1633"/>
      <c r="W768" s="1634"/>
      <c r="X768" s="1635"/>
      <c r="Y768" s="1636"/>
      <c r="Z768" s="1636"/>
      <c r="AA768" s="1636"/>
      <c r="AB768" s="1637"/>
      <c r="AC768" s="1638">
        <f t="shared" si="32"/>
        <v>0</v>
      </c>
      <c r="AD768" s="1639"/>
      <c r="AE768" s="1639"/>
      <c r="AF768" s="1639"/>
      <c r="AG768" s="164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646"/>
      <c r="K769" s="1647"/>
      <c r="L769" s="1647"/>
      <c r="M769" s="1647"/>
      <c r="N769" s="1648"/>
      <c r="O769" s="1649"/>
      <c r="P769" s="1649"/>
      <c r="Q769" s="1649"/>
      <c r="R769" s="1649"/>
      <c r="S769" s="1649"/>
      <c r="T769" s="1632"/>
      <c r="U769" s="1633"/>
      <c r="V769" s="1633"/>
      <c r="W769" s="1634"/>
      <c r="X769" s="1635"/>
      <c r="Y769" s="1636"/>
      <c r="Z769" s="1636"/>
      <c r="AA769" s="1636"/>
      <c r="AB769" s="1637"/>
      <c r="AC769" s="1638">
        <f t="shared" si="32"/>
        <v>0</v>
      </c>
      <c r="AD769" s="1639"/>
      <c r="AE769" s="1639"/>
      <c r="AF769" s="1639"/>
      <c r="AG769" s="16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646"/>
      <c r="K770" s="1647"/>
      <c r="L770" s="1647"/>
      <c r="M770" s="1647"/>
      <c r="N770" s="1648"/>
      <c r="O770" s="1649"/>
      <c r="P770" s="1649"/>
      <c r="Q770" s="1649"/>
      <c r="R770" s="1649"/>
      <c r="S770" s="1649"/>
      <c r="T770" s="1632"/>
      <c r="U770" s="1633"/>
      <c r="V770" s="1633"/>
      <c r="W770" s="1634"/>
      <c r="X770" s="1635"/>
      <c r="Y770" s="1636"/>
      <c r="Z770" s="1636"/>
      <c r="AA770" s="1636"/>
      <c r="AB770" s="1637"/>
      <c r="AC770" s="1638">
        <f t="shared" si="32"/>
        <v>0</v>
      </c>
      <c r="AD770" s="1639"/>
      <c r="AE770" s="1639"/>
      <c r="AF770" s="1639"/>
      <c r="AG770" s="16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646"/>
      <c r="K771" s="1647"/>
      <c r="L771" s="1647"/>
      <c r="M771" s="1647"/>
      <c r="N771" s="1648"/>
      <c r="O771" s="1649"/>
      <c r="P771" s="1649"/>
      <c r="Q771" s="1649"/>
      <c r="R771" s="1649"/>
      <c r="S771" s="1649"/>
      <c r="T771" s="1632"/>
      <c r="U771" s="1633"/>
      <c r="V771" s="1633"/>
      <c r="W771" s="1634"/>
      <c r="X771" s="1635"/>
      <c r="Y771" s="1636"/>
      <c r="Z771" s="1636"/>
      <c r="AA771" s="1636"/>
      <c r="AB771" s="1637"/>
      <c r="AC771" s="1638">
        <f t="shared" si="32"/>
        <v>0</v>
      </c>
      <c r="AD771" s="1639"/>
      <c r="AE771" s="1639"/>
      <c r="AF771" s="1639"/>
      <c r="AG771" s="16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646"/>
      <c r="K772" s="1647"/>
      <c r="L772" s="1647"/>
      <c r="M772" s="1647"/>
      <c r="N772" s="1648"/>
      <c r="O772" s="1649"/>
      <c r="P772" s="1649"/>
      <c r="Q772" s="1649"/>
      <c r="R772" s="1649"/>
      <c r="S772" s="1649"/>
      <c r="T772" s="1632"/>
      <c r="U772" s="1633"/>
      <c r="V772" s="1633"/>
      <c r="W772" s="1634"/>
      <c r="X772" s="1635"/>
      <c r="Y772" s="1636"/>
      <c r="Z772" s="1636"/>
      <c r="AA772" s="1636"/>
      <c r="AB772" s="1637"/>
      <c r="AC772" s="1638">
        <f t="shared" si="32"/>
        <v>0</v>
      </c>
      <c r="AD772" s="1639"/>
      <c r="AE772" s="1639"/>
      <c r="AF772" s="1639"/>
      <c r="AG772" s="16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6"/>
      <c r="K773" s="1647"/>
      <c r="L773" s="1647"/>
      <c r="M773" s="1647"/>
      <c r="N773" s="1648"/>
      <c r="O773" s="1649"/>
      <c r="P773" s="1649"/>
      <c r="Q773" s="1649"/>
      <c r="R773" s="1649"/>
      <c r="S773" s="1649"/>
      <c r="T773" s="1632"/>
      <c r="U773" s="1633"/>
      <c r="V773" s="1633"/>
      <c r="W773" s="1634"/>
      <c r="X773" s="1635"/>
      <c r="Y773" s="1636"/>
      <c r="Z773" s="1636"/>
      <c r="AA773" s="1636"/>
      <c r="AB773" s="1637"/>
      <c r="AC773" s="1638">
        <f t="shared" si="32"/>
        <v>0</v>
      </c>
      <c r="AD773" s="1639"/>
      <c r="AE773" s="1639"/>
      <c r="AF773" s="1639"/>
      <c r="AG773" s="16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742" t="s">
        <v>976</v>
      </c>
      <c r="K774" s="1743"/>
      <c r="L774" s="1743"/>
      <c r="M774" s="1743"/>
      <c r="N774" s="1745"/>
      <c r="O774" s="2061">
        <f>SUM(O764:S773)</f>
        <v>0</v>
      </c>
      <c r="P774" s="2061"/>
      <c r="Q774" s="2061"/>
      <c r="R774" s="2061"/>
      <c r="S774" s="2061"/>
      <c r="X774" s="1458" t="s">
        <v>975</v>
      </c>
      <c r="Y774" s="255"/>
      <c r="Z774" s="255"/>
      <c r="AA774" s="255"/>
      <c r="AB774" s="1459"/>
      <c r="AC774" s="1638">
        <f>SUM(AC764:AG773)</f>
        <v>0</v>
      </c>
      <c r="AD774" s="1639"/>
      <c r="AE774" s="1639"/>
      <c r="AF774" s="1639"/>
      <c r="AG774" s="16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987">
        <f>T729+AC754+AC774</f>
        <v>65976.2</v>
      </c>
      <c r="Z776" s="1987"/>
      <c r="AA776" s="1987"/>
      <c r="AB776" s="1987"/>
      <c r="AC776" s="19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987">
        <f>(T729+AC754+AC774)*12</f>
        <v>791714.39999999991</v>
      </c>
      <c r="Z777" s="1987"/>
      <c r="AA777" s="1987"/>
      <c r="AB777" s="1987"/>
      <c r="AC777" s="198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85">
        <v>31</v>
      </c>
      <c r="AA782" s="1876"/>
      <c r="AB782" s="1876"/>
      <c r="AC782" s="1876"/>
      <c r="AD782" s="1876"/>
      <c r="AE782" s="187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875">
        <v>20</v>
      </c>
      <c r="AA783" s="1876"/>
      <c r="AB783" s="1876"/>
      <c r="AC783" s="1876"/>
      <c r="AD783" s="1876"/>
      <c r="AE783" s="187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889">
        <v>52536</v>
      </c>
      <c r="AA784" s="1812"/>
      <c r="AB784" s="1812"/>
      <c r="AC784" s="1812"/>
      <c r="AD784" s="1812"/>
      <c r="AE784" s="189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074">
        <f>'Subsidy Contract Calculation'!I30</f>
        <v>367550.4</v>
      </c>
      <c r="AA785" s="2075"/>
      <c r="AB785" s="2075"/>
      <c r="AC785" s="2075"/>
      <c r="AD785" s="2075"/>
      <c r="AE785" s="207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51">
        <f>9300-Z792</f>
        <v>6300</v>
      </c>
      <c r="AA789" s="1652"/>
      <c r="AB789" s="1652"/>
      <c r="AC789" s="1652"/>
      <c r="AD789" s="1652"/>
      <c r="AE789" s="165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51"/>
      <c r="AA790" s="1652"/>
      <c r="AB790" s="1652"/>
      <c r="AC790" s="1652"/>
      <c r="AD790" s="1652"/>
      <c r="AE790" s="165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51"/>
      <c r="AA791" s="1652"/>
      <c r="AB791" s="1652"/>
      <c r="AC791" s="1652"/>
      <c r="AD791" s="1652"/>
      <c r="AE791" s="165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999" t="s">
        <v>2493</v>
      </c>
      <c r="Q792" s="1985"/>
      <c r="R792" s="1985"/>
      <c r="S792" s="1985"/>
      <c r="T792" s="1985"/>
      <c r="U792" s="1985"/>
      <c r="V792" s="1985"/>
      <c r="W792" s="1985"/>
      <c r="X792" s="1985"/>
      <c r="Y792" s="1986"/>
      <c r="Z792" s="1651">
        <v>3000</v>
      </c>
      <c r="AA792" s="1652"/>
      <c r="AB792" s="1652"/>
      <c r="AC792" s="1652"/>
      <c r="AD792" s="1652"/>
      <c r="AE792" s="165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57">
        <f>SUM(Z789:AE792)</f>
        <v>9300</v>
      </c>
      <c r="AA793" s="1658"/>
      <c r="AB793" s="1658"/>
      <c r="AC793" s="1658"/>
      <c r="AD793" s="1658"/>
      <c r="AE793" s="165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57">
        <f>Z793+Y777+Z785</f>
        <v>1168564.7999999998</v>
      </c>
      <c r="AA794" s="1658"/>
      <c r="AB794" s="1658"/>
      <c r="AC794" s="1658"/>
      <c r="AD794" s="1658"/>
      <c r="AE794" s="165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891" t="s">
        <v>977</v>
      </c>
      <c r="N799" s="1891"/>
      <c r="O799" s="1891"/>
      <c r="P799" s="1892"/>
      <c r="Q799" s="1895" t="s">
        <v>291</v>
      </c>
      <c r="R799" s="1895"/>
      <c r="S799" s="1895"/>
      <c r="T799" s="1895"/>
      <c r="U799" s="1895" t="s">
        <v>292</v>
      </c>
      <c r="V799" s="1895"/>
      <c r="W799" s="1895"/>
      <c r="X799" s="1895"/>
      <c r="Y799" s="1895" t="s">
        <v>293</v>
      </c>
      <c r="Z799" s="1895"/>
      <c r="AA799" s="1895"/>
      <c r="AB799" s="1895"/>
      <c r="AC799" s="1895" t="s">
        <v>36</v>
      </c>
      <c r="AD799" s="1895"/>
      <c r="AE799" s="1895"/>
      <c r="AF799" s="1895"/>
      <c r="AG799" s="1906" t="s">
        <v>623</v>
      </c>
      <c r="AH799" s="1906"/>
      <c r="AI799" s="1906"/>
      <c r="AJ799" s="190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893"/>
      <c r="N800" s="1893"/>
      <c r="O800" s="1893"/>
      <c r="P800" s="1894"/>
      <c r="Q800" s="1895"/>
      <c r="R800" s="1895"/>
      <c r="S800" s="1895"/>
      <c r="T800" s="1895"/>
      <c r="U800" s="1895"/>
      <c r="V800" s="1895"/>
      <c r="W800" s="1895"/>
      <c r="X800" s="1895"/>
      <c r="Y800" s="1895"/>
      <c r="Z800" s="1895"/>
      <c r="AA800" s="1895"/>
      <c r="AB800" s="1895"/>
      <c r="AC800" s="1895"/>
      <c r="AD800" s="1895"/>
      <c r="AE800" s="1895"/>
      <c r="AF800" s="1895"/>
      <c r="AG800" s="1906"/>
      <c r="AH800" s="1906"/>
      <c r="AI800" s="1906"/>
      <c r="AJ800" s="190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666" t="s">
        <v>760</v>
      </c>
      <c r="D801" s="1667"/>
      <c r="E801" s="1667"/>
      <c r="F801" s="1667"/>
      <c r="G801" s="1667"/>
      <c r="H801" s="1667"/>
      <c r="I801" s="94"/>
      <c r="J801" s="94"/>
      <c r="K801" s="94"/>
      <c r="L801" s="95"/>
      <c r="M801" s="1650"/>
      <c r="N801" s="1650"/>
      <c r="O801" s="1650"/>
      <c r="P801" s="1650"/>
      <c r="Q801" s="1650">
        <v>14</v>
      </c>
      <c r="R801" s="1650"/>
      <c r="S801" s="1650"/>
      <c r="T801" s="1650"/>
      <c r="U801" s="1650">
        <v>18</v>
      </c>
      <c r="V801" s="1650"/>
      <c r="W801" s="1650"/>
      <c r="X801" s="1650"/>
      <c r="Y801" s="1650">
        <v>22</v>
      </c>
      <c r="Z801" s="1650"/>
      <c r="AA801" s="1650"/>
      <c r="AB801" s="1650"/>
      <c r="AC801" s="1654"/>
      <c r="AD801" s="1655"/>
      <c r="AE801" s="1655"/>
      <c r="AF801" s="1656"/>
      <c r="AG801" s="1654"/>
      <c r="AH801" s="1655"/>
      <c r="AI801" s="1655"/>
      <c r="AJ801" s="165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896" t="s">
        <v>761</v>
      </c>
      <c r="D802" s="1826"/>
      <c r="E802" s="1826"/>
      <c r="F802" s="1826"/>
      <c r="G802" s="1826"/>
      <c r="H802" s="1826"/>
      <c r="I802" s="91"/>
      <c r="J802" s="91"/>
      <c r="K802" s="91"/>
      <c r="L802" s="92"/>
      <c r="M802" s="1650"/>
      <c r="N802" s="1650"/>
      <c r="O802" s="1650"/>
      <c r="P802" s="1650"/>
      <c r="Q802" s="1650">
        <v>14</v>
      </c>
      <c r="R802" s="1650"/>
      <c r="S802" s="1650"/>
      <c r="T802" s="1650"/>
      <c r="U802" s="1650">
        <v>17</v>
      </c>
      <c r="V802" s="1650"/>
      <c r="W802" s="1650"/>
      <c r="X802" s="1650"/>
      <c r="Y802" s="1650">
        <v>21</v>
      </c>
      <c r="Z802" s="1650"/>
      <c r="AA802" s="1650"/>
      <c r="AB802" s="1650"/>
      <c r="AC802" s="1654"/>
      <c r="AD802" s="1655"/>
      <c r="AE802" s="1655"/>
      <c r="AF802" s="1656"/>
      <c r="AG802" s="1654"/>
      <c r="AH802" s="1655"/>
      <c r="AI802" s="1655"/>
      <c r="AJ802" s="165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896" t="s">
        <v>78</v>
      </c>
      <c r="D803" s="1826"/>
      <c r="E803" s="1826"/>
      <c r="F803" s="1826"/>
      <c r="G803" s="1826"/>
      <c r="H803" s="1826"/>
      <c r="I803" s="110"/>
      <c r="J803" s="110"/>
      <c r="K803" s="110"/>
      <c r="L803" s="111"/>
      <c r="M803" s="1650"/>
      <c r="N803" s="1650"/>
      <c r="O803" s="1650"/>
      <c r="P803" s="1650"/>
      <c r="Q803" s="1650">
        <v>7</v>
      </c>
      <c r="R803" s="1650"/>
      <c r="S803" s="1650"/>
      <c r="T803" s="1650"/>
      <c r="U803" s="1650">
        <v>9</v>
      </c>
      <c r="V803" s="1650"/>
      <c r="W803" s="1650"/>
      <c r="X803" s="1650"/>
      <c r="Y803" s="1650">
        <v>11</v>
      </c>
      <c r="Z803" s="1650"/>
      <c r="AA803" s="1650"/>
      <c r="AB803" s="1650"/>
      <c r="AC803" s="1654"/>
      <c r="AD803" s="1655"/>
      <c r="AE803" s="1655"/>
      <c r="AF803" s="1656"/>
      <c r="AG803" s="1654"/>
      <c r="AH803" s="1655"/>
      <c r="AI803" s="1655"/>
      <c r="AJ803" s="165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896" t="s">
        <v>195</v>
      </c>
      <c r="D804" s="1826"/>
      <c r="E804" s="1826"/>
      <c r="F804" s="1826"/>
      <c r="G804" s="1826"/>
      <c r="H804" s="1826"/>
      <c r="I804" s="110"/>
      <c r="J804" s="110"/>
      <c r="K804" s="110"/>
      <c r="L804" s="111"/>
      <c r="M804" s="1650"/>
      <c r="N804" s="1650"/>
      <c r="O804" s="1650"/>
      <c r="P804" s="1650"/>
      <c r="Q804" s="1650"/>
      <c r="R804" s="1650"/>
      <c r="S804" s="1650"/>
      <c r="T804" s="1650"/>
      <c r="U804" s="1650"/>
      <c r="V804" s="1650"/>
      <c r="W804" s="1650"/>
      <c r="X804" s="1650"/>
      <c r="Y804" s="1650"/>
      <c r="Z804" s="1650"/>
      <c r="AA804" s="1650"/>
      <c r="AB804" s="1650"/>
      <c r="AC804" s="1654"/>
      <c r="AD804" s="1655"/>
      <c r="AE804" s="1655"/>
      <c r="AF804" s="1656"/>
      <c r="AG804" s="1654"/>
      <c r="AH804" s="1655"/>
      <c r="AI804" s="1655"/>
      <c r="AJ804" s="165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1896" t="s">
        <v>866</v>
      </c>
      <c r="D805" s="1826"/>
      <c r="E805" s="1826"/>
      <c r="F805" s="1826"/>
      <c r="G805" s="1826"/>
      <c r="H805" s="1826"/>
      <c r="I805" s="110"/>
      <c r="J805" s="110"/>
      <c r="K805" s="110"/>
      <c r="L805" s="111"/>
      <c r="M805" s="1650"/>
      <c r="N805" s="1650"/>
      <c r="O805" s="1650"/>
      <c r="P805" s="1650"/>
      <c r="Q805" s="1650">
        <v>23</v>
      </c>
      <c r="R805" s="1650"/>
      <c r="S805" s="1650"/>
      <c r="T805" s="1650"/>
      <c r="U805" s="1650">
        <v>28</v>
      </c>
      <c r="V805" s="1650"/>
      <c r="W805" s="1650"/>
      <c r="X805" s="1650"/>
      <c r="Y805" s="1650">
        <v>33</v>
      </c>
      <c r="Z805" s="1650"/>
      <c r="AA805" s="1650"/>
      <c r="AB805" s="1650"/>
      <c r="AC805" s="1654"/>
      <c r="AD805" s="1655"/>
      <c r="AE805" s="1655"/>
      <c r="AF805" s="1656"/>
      <c r="AG805" s="1654"/>
      <c r="AH805" s="1655"/>
      <c r="AI805" s="1655"/>
      <c r="AJ805" s="165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852" t="s">
        <v>1047</v>
      </c>
      <c r="D806" s="1826"/>
      <c r="E806" s="1826"/>
      <c r="F806" s="1826"/>
      <c r="G806" s="1826"/>
      <c r="H806" s="1826"/>
      <c r="I806" s="110"/>
      <c r="J806" s="110"/>
      <c r="K806" s="110"/>
      <c r="L806" s="111"/>
      <c r="M806" s="1650"/>
      <c r="N806" s="1650"/>
      <c r="O806" s="1650"/>
      <c r="P806" s="1650"/>
      <c r="Q806" s="1650"/>
      <c r="R806" s="1650"/>
      <c r="S806" s="1650"/>
      <c r="T806" s="1650"/>
      <c r="U806" s="1650"/>
      <c r="V806" s="1650"/>
      <c r="W806" s="1650"/>
      <c r="X806" s="1650"/>
      <c r="Y806" s="1650"/>
      <c r="Z806" s="1650"/>
      <c r="AA806" s="1650"/>
      <c r="AB806" s="1650"/>
      <c r="AC806" s="1654"/>
      <c r="AD806" s="1655"/>
      <c r="AE806" s="1655"/>
      <c r="AF806" s="1656"/>
      <c r="AG806" s="1654"/>
      <c r="AH806" s="1655"/>
      <c r="AI806" s="1655"/>
      <c r="AJ806" s="165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717" t="s">
        <v>2450</v>
      </c>
      <c r="G807" s="1882"/>
      <c r="H807" s="1882"/>
      <c r="I807" s="1882"/>
      <c r="J807" s="1882"/>
      <c r="K807" s="1882"/>
      <c r="L807" s="1883"/>
      <c r="M807" s="1650"/>
      <c r="N807" s="1650"/>
      <c r="O807" s="1650"/>
      <c r="P807" s="1650"/>
      <c r="Q807" s="1650">
        <v>10</v>
      </c>
      <c r="R807" s="1650"/>
      <c r="S807" s="1650"/>
      <c r="T807" s="1650"/>
      <c r="U807" s="1650">
        <v>14</v>
      </c>
      <c r="V807" s="1650"/>
      <c r="W807" s="1650"/>
      <c r="X807" s="1650"/>
      <c r="Y807" s="1650">
        <v>17</v>
      </c>
      <c r="Z807" s="1650"/>
      <c r="AA807" s="1650"/>
      <c r="AB807" s="1650"/>
      <c r="AC807" s="1654"/>
      <c r="AD807" s="1655"/>
      <c r="AE807" s="1655"/>
      <c r="AF807" s="1656"/>
      <c r="AG807" s="1654"/>
      <c r="AH807" s="1655"/>
      <c r="AI807" s="1655"/>
      <c r="AJ807" s="165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2" t="s">
        <v>975</v>
      </c>
      <c r="D808" s="1743"/>
      <c r="E808" s="1743"/>
      <c r="F808" s="1743"/>
      <c r="G808" s="1743"/>
      <c r="H808" s="1743"/>
      <c r="I808" s="1743"/>
      <c r="J808" s="1743"/>
      <c r="K808" s="1743"/>
      <c r="L808" s="1745"/>
      <c r="M808" s="1884">
        <f>SUM(M801:P807)</f>
        <v>0</v>
      </c>
      <c r="N808" s="1884"/>
      <c r="O808" s="1884"/>
      <c r="P808" s="1884"/>
      <c r="Q808" s="1884">
        <f>SUM(Q801:T807)</f>
        <v>68</v>
      </c>
      <c r="R808" s="1884"/>
      <c r="S808" s="1884"/>
      <c r="T808" s="1884"/>
      <c r="U808" s="1884">
        <f>SUM(U801:X807)</f>
        <v>86</v>
      </c>
      <c r="V808" s="1884"/>
      <c r="W808" s="1884"/>
      <c r="X808" s="1884"/>
      <c r="Y808" s="1884">
        <f>SUM(Y801:AB807)</f>
        <v>104</v>
      </c>
      <c r="Z808" s="1884"/>
      <c r="AA808" s="1884"/>
      <c r="AB808" s="1884"/>
      <c r="AC808" s="1884">
        <f>SUM(AC801:AF807)</f>
        <v>0</v>
      </c>
      <c r="AD808" s="1884"/>
      <c r="AE808" s="1884"/>
      <c r="AF808" s="1884"/>
      <c r="AG808" s="1884">
        <f>SUM(AG801:AJ807)</f>
        <v>0</v>
      </c>
      <c r="AH808" s="1884"/>
      <c r="AI808" s="1884"/>
      <c r="AJ808" s="188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879" t="s">
        <v>2408</v>
      </c>
      <c r="D813" s="1880"/>
      <c r="E813" s="1880"/>
      <c r="F813" s="1880"/>
      <c r="G813" s="1880"/>
      <c r="H813" s="1880"/>
      <c r="I813" s="1880"/>
      <c r="J813" s="1880"/>
      <c r="K813" s="1880"/>
      <c r="L813" s="1880"/>
      <c r="M813" s="1880"/>
      <c r="N813" s="1880"/>
      <c r="O813" s="1880"/>
      <c r="P813" s="1880"/>
      <c r="Q813" s="1880"/>
      <c r="R813" s="1880"/>
      <c r="S813" s="1880"/>
      <c r="T813" s="1880"/>
      <c r="U813" s="1880"/>
      <c r="V813" s="1880"/>
      <c r="W813" s="1880"/>
      <c r="X813" s="1880"/>
      <c r="Y813" s="1880"/>
      <c r="Z813" s="1880"/>
      <c r="AA813" s="1880"/>
      <c r="AB813" s="1880"/>
      <c r="AC813" s="1880"/>
      <c r="AD813" s="1880"/>
      <c r="AE813" s="1880"/>
      <c r="AF813" s="1880"/>
      <c r="AG813" s="1880"/>
      <c r="AH813" s="1880"/>
      <c r="AI813" s="1880"/>
      <c r="AJ813" s="188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065" t="s">
        <v>412</v>
      </c>
      <c r="BB817" s="2066"/>
      <c r="BC817" s="72"/>
      <c r="BD817" s="72"/>
      <c r="BE817" s="72"/>
      <c r="BF817" s="65" t="s">
        <v>469</v>
      </c>
      <c r="BG817" s="65"/>
      <c r="BH817" s="65"/>
      <c r="BI817" s="65"/>
      <c r="BJ817" s="65"/>
      <c r="BK817" s="65"/>
      <c r="BL817" s="65"/>
      <c r="BM817" s="65"/>
      <c r="BN817" s="65"/>
      <c r="BO817" s="2062" t="str">
        <f>T189</f>
        <v>Los Angeles</v>
      </c>
      <c r="BP817" s="2063"/>
      <c r="BQ817" s="2063"/>
      <c r="BR817" s="2063"/>
      <c r="BS817" s="2063"/>
      <c r="BT817" s="2063"/>
      <c r="BU817" s="2064"/>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645">
        <v>2200</v>
      </c>
      <c r="X818" s="1645"/>
      <c r="Y818" s="1645"/>
      <c r="Z818" s="1645"/>
      <c r="AA818" s="1645"/>
      <c r="AB818" s="1645"/>
      <c r="AC818" s="164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645">
        <v>4000</v>
      </c>
      <c r="X819" s="1645"/>
      <c r="Y819" s="1645"/>
      <c r="Z819" s="1645"/>
      <c r="AA819" s="1645"/>
      <c r="AB819" s="1645"/>
      <c r="AC819" s="164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645">
        <v>10000</v>
      </c>
      <c r="X820" s="1645"/>
      <c r="Y820" s="1645"/>
      <c r="Z820" s="1645"/>
      <c r="AA820" s="1645"/>
      <c r="AB820" s="1645"/>
      <c r="AC820" s="164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645"/>
      <c r="X821" s="1645"/>
      <c r="Y821" s="1645"/>
      <c r="Z821" s="1645"/>
      <c r="AA821" s="1645"/>
      <c r="AB821" s="1645"/>
      <c r="AC821" s="1645"/>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717" t="s">
        <v>2499</v>
      </c>
      <c r="N822" s="1882"/>
      <c r="O822" s="1882"/>
      <c r="P822" s="1882"/>
      <c r="Q822" s="1882"/>
      <c r="R822" s="1882"/>
      <c r="S822" s="1882"/>
      <c r="T822" s="1882"/>
      <c r="U822" s="1882"/>
      <c r="V822" s="1883"/>
      <c r="W822" s="1645">
        <v>33000</v>
      </c>
      <c r="X822" s="1645"/>
      <c r="Y822" s="1645"/>
      <c r="Z822" s="1645"/>
      <c r="AA822" s="1645"/>
      <c r="AB822" s="1645"/>
      <c r="AC822" s="164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57">
        <f>SUM(W818:AC822)</f>
        <v>49200</v>
      </c>
      <c r="X823" s="1658"/>
      <c r="Y823" s="1658"/>
      <c r="Z823" s="1658"/>
      <c r="AA823" s="1658"/>
      <c r="AB823" s="1658"/>
      <c r="AC823" s="165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2" t="s">
        <v>518</v>
      </c>
      <c r="K825" s="1743"/>
      <c r="L825" s="1743"/>
      <c r="M825" s="1743"/>
      <c r="N825" s="1743"/>
      <c r="O825" s="1743"/>
      <c r="P825" s="1743"/>
      <c r="Q825" s="1743"/>
      <c r="R825" s="1743"/>
      <c r="S825" s="1743"/>
      <c r="T825" s="1743"/>
      <c r="U825" s="1743"/>
      <c r="V825" s="1745"/>
      <c r="W825" s="1651">
        <v>45360</v>
      </c>
      <c r="X825" s="1652"/>
      <c r="Y825" s="1652"/>
      <c r="Z825" s="1652"/>
      <c r="AA825" s="1652"/>
      <c r="AB825" s="1652"/>
      <c r="AC825" s="165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997"/>
      <c r="X827" s="1997"/>
      <c r="Y827" s="1997"/>
      <c r="Z827" s="1997"/>
      <c r="AA827" s="1997"/>
      <c r="AB827" s="1997"/>
      <c r="AC827" s="199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997">
        <v>12000</v>
      </c>
      <c r="X828" s="1997"/>
      <c r="Y828" s="1997"/>
      <c r="Z828" s="1997"/>
      <c r="AA828" s="1997"/>
      <c r="AB828" s="1997"/>
      <c r="AC828" s="199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997">
        <v>18000</v>
      </c>
      <c r="X829" s="1997"/>
      <c r="Y829" s="1997"/>
      <c r="Z829" s="1997"/>
      <c r="AA829" s="1997"/>
      <c r="AB829" s="1997"/>
      <c r="AC829" s="199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997">
        <v>34501</v>
      </c>
      <c r="X830" s="1997"/>
      <c r="Y830" s="1997"/>
      <c r="Z830" s="1997"/>
      <c r="AA830" s="1997"/>
      <c r="AB830" s="1997"/>
      <c r="AC830" s="199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068">
        <f>SUM(W827:AC830)</f>
        <v>64501</v>
      </c>
      <c r="X831" s="2068"/>
      <c r="Y831" s="2068"/>
      <c r="Z831" s="2068"/>
      <c r="AA831" s="2068"/>
      <c r="AB831" s="2068"/>
      <c r="AC831" s="2068"/>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897">
        <v>77839</v>
      </c>
      <c r="X833" s="1898"/>
      <c r="Y833" s="1898"/>
      <c r="Z833" s="1898"/>
      <c r="AA833" s="1898"/>
      <c r="AB833" s="1898"/>
      <c r="AC833" s="1899"/>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080">
        <v>1</v>
      </c>
      <c r="U834" s="2081"/>
      <c r="V834" s="2082"/>
      <c r="W834" s="1376"/>
      <c r="X834" s="1377"/>
      <c r="Y834" s="1377"/>
      <c r="Z834" s="1377"/>
      <c r="AA834" s="1377"/>
      <c r="AB834" s="1377"/>
      <c r="AC834" s="1378"/>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897">
        <v>60000</v>
      </c>
      <c r="X835" s="1898"/>
      <c r="Y835" s="1898"/>
      <c r="Z835" s="1898"/>
      <c r="AA835" s="1898"/>
      <c r="AB835" s="1898"/>
      <c r="AC835" s="1899"/>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080">
        <v>1</v>
      </c>
      <c r="U836" s="2081"/>
      <c r="V836" s="2082"/>
      <c r="W836" s="1376"/>
      <c r="X836" s="1377"/>
      <c r="Y836" s="1377"/>
      <c r="Z836" s="1377"/>
      <c r="AA836" s="1377"/>
      <c r="AB836" s="1377"/>
      <c r="AC836" s="1378"/>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717"/>
      <c r="N837" s="1882"/>
      <c r="O837" s="1882"/>
      <c r="P837" s="1882"/>
      <c r="Q837" s="1882"/>
      <c r="R837" s="1882"/>
      <c r="S837" s="1882"/>
      <c r="T837" s="1882"/>
      <c r="U837" s="1882"/>
      <c r="V837" s="1883"/>
      <c r="W837" s="1897"/>
      <c r="X837" s="1898"/>
      <c r="Y837" s="1898"/>
      <c r="Z837" s="1898"/>
      <c r="AA837" s="1898"/>
      <c r="AB837" s="1898"/>
      <c r="AC837" s="1899"/>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058">
        <f>SUM(W833:AC837)</f>
        <v>137839</v>
      </c>
      <c r="X838" s="2059"/>
      <c r="Y838" s="2059"/>
      <c r="Z838" s="2059"/>
      <c r="AA838" s="2059"/>
      <c r="AB838" s="2059"/>
      <c r="AC838" s="2060"/>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897">
        <v>60000</v>
      </c>
      <c r="X839" s="1898"/>
      <c r="Y839" s="1898"/>
      <c r="Z839" s="1898"/>
      <c r="AA839" s="1898"/>
      <c r="AB839" s="1898"/>
      <c r="AC839" s="189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645">
        <v>5500</v>
      </c>
      <c r="X841" s="1645"/>
      <c r="Y841" s="1645"/>
      <c r="Z841" s="1645"/>
      <c r="AA841" s="1645"/>
      <c r="AB841" s="1645"/>
      <c r="AC841" s="164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645">
        <f>7020+4300</f>
        <v>11320</v>
      </c>
      <c r="X842" s="1645"/>
      <c r="Y842" s="1645"/>
      <c r="Z842" s="1645"/>
      <c r="AA842" s="1645"/>
      <c r="AB842" s="1645"/>
      <c r="AC842" s="164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645">
        <v>8430</v>
      </c>
      <c r="X843" s="1645"/>
      <c r="Y843" s="1645"/>
      <c r="Z843" s="1645"/>
      <c r="AA843" s="1645"/>
      <c r="AB843" s="1645"/>
      <c r="AC843" s="16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645">
        <v>5600</v>
      </c>
      <c r="X844" s="1645"/>
      <c r="Y844" s="1645"/>
      <c r="Z844" s="1645"/>
      <c r="AA844" s="1645"/>
      <c r="AB844" s="1645"/>
      <c r="AC844" s="16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645">
        <v>8450</v>
      </c>
      <c r="X845" s="1645"/>
      <c r="Y845" s="1645"/>
      <c r="Z845" s="1645"/>
      <c r="AA845" s="1645"/>
      <c r="AB845" s="1645"/>
      <c r="AC845" s="16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684</v>
      </c>
      <c r="K846" s="91"/>
      <c r="L846" s="91"/>
      <c r="M846" s="91"/>
      <c r="N846" s="91"/>
      <c r="O846" s="91"/>
      <c r="P846" s="91"/>
      <c r="Q846" s="91"/>
      <c r="R846" s="91"/>
      <c r="S846" s="91"/>
      <c r="T846" s="91"/>
      <c r="U846" s="91"/>
      <c r="V846" s="92"/>
      <c r="W846" s="1645">
        <v>7000</v>
      </c>
      <c r="X846" s="1645"/>
      <c r="Y846" s="1645"/>
      <c r="Z846" s="1645"/>
      <c r="AA846" s="1645"/>
      <c r="AB846" s="1645"/>
      <c r="AC846" s="164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900" t="s">
        <v>622</v>
      </c>
      <c r="N847" s="1882"/>
      <c r="O847" s="1882"/>
      <c r="P847" s="1882"/>
      <c r="Q847" s="1882"/>
      <c r="R847" s="1882"/>
      <c r="S847" s="1882"/>
      <c r="T847" s="1882"/>
      <c r="U847" s="1882"/>
      <c r="V847" s="1883"/>
      <c r="W847" s="1645"/>
      <c r="X847" s="1645"/>
      <c r="Y847" s="1645"/>
      <c r="Z847" s="1645"/>
      <c r="AA847" s="1645"/>
      <c r="AB847" s="1645"/>
      <c r="AC847" s="164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1987">
        <f>SUM(W841:AC847)</f>
        <v>46300</v>
      </c>
      <c r="X848" s="1987"/>
      <c r="Y848" s="1987"/>
      <c r="Z848" s="1987"/>
      <c r="AA848" s="1987"/>
      <c r="AB848" s="1987"/>
      <c r="AC848" s="1987"/>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2131</v>
      </c>
      <c r="J850" s="90" t="s">
        <v>311</v>
      </c>
      <c r="K850" s="91"/>
      <c r="L850" s="91"/>
      <c r="M850" s="1900" t="s">
        <v>622</v>
      </c>
      <c r="N850" s="1882"/>
      <c r="O850" s="1882"/>
      <c r="P850" s="1882"/>
      <c r="Q850" s="1882"/>
      <c r="R850" s="1882"/>
      <c r="S850" s="1882"/>
      <c r="T850" s="1882"/>
      <c r="U850" s="1882"/>
      <c r="V850" s="1883"/>
      <c r="W850" s="1651"/>
      <c r="X850" s="1652"/>
      <c r="Y850" s="1652"/>
      <c r="Z850" s="1652"/>
      <c r="AA850" s="1652"/>
      <c r="AB850" s="1652"/>
      <c r="AC850" s="1653"/>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900" t="s">
        <v>622</v>
      </c>
      <c r="N851" s="1882"/>
      <c r="O851" s="1882"/>
      <c r="P851" s="1882"/>
      <c r="Q851" s="1882"/>
      <c r="R851" s="1882"/>
      <c r="S851" s="1882"/>
      <c r="T851" s="1882"/>
      <c r="U851" s="1882"/>
      <c r="V851" s="1883"/>
      <c r="W851" s="1651"/>
      <c r="X851" s="1652"/>
      <c r="Y851" s="1652"/>
      <c r="Z851" s="1652"/>
      <c r="AA851" s="1652"/>
      <c r="AB851" s="1652"/>
      <c r="AC851" s="1653"/>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900" t="s">
        <v>622</v>
      </c>
      <c r="N852" s="1882"/>
      <c r="O852" s="1882"/>
      <c r="P852" s="1882"/>
      <c r="Q852" s="1882"/>
      <c r="R852" s="1882"/>
      <c r="S852" s="1882"/>
      <c r="T852" s="1882"/>
      <c r="U852" s="1882"/>
      <c r="V852" s="1883"/>
      <c r="W852" s="1651"/>
      <c r="X852" s="1652"/>
      <c r="Y852" s="1652"/>
      <c r="Z852" s="1652"/>
      <c r="AA852" s="1652"/>
      <c r="AB852" s="1652"/>
      <c r="AC852" s="165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900" t="s">
        <v>622</v>
      </c>
      <c r="N853" s="1882"/>
      <c r="O853" s="1882"/>
      <c r="P853" s="1882"/>
      <c r="Q853" s="1882"/>
      <c r="R853" s="1882"/>
      <c r="S853" s="1882"/>
      <c r="T853" s="1882"/>
      <c r="U853" s="1882"/>
      <c r="V853" s="1883"/>
      <c r="W853" s="1651"/>
      <c r="X853" s="1652"/>
      <c r="Y853" s="1652"/>
      <c r="Z853" s="1652"/>
      <c r="AA853" s="1652"/>
      <c r="AB853" s="1652"/>
      <c r="AC853" s="165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900" t="s">
        <v>622</v>
      </c>
      <c r="N854" s="1882"/>
      <c r="O854" s="1882"/>
      <c r="P854" s="1882"/>
      <c r="Q854" s="1882"/>
      <c r="R854" s="1882"/>
      <c r="S854" s="1882"/>
      <c r="T854" s="1882"/>
      <c r="U854" s="1882"/>
      <c r="V854" s="1883"/>
      <c r="W854" s="1651"/>
      <c r="X854" s="1652"/>
      <c r="Y854" s="1652"/>
      <c r="Z854" s="1652"/>
      <c r="AA854" s="1652"/>
      <c r="AB854" s="1652"/>
      <c r="AC854" s="165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57">
        <f>SUM(W850:AC854)</f>
        <v>0</v>
      </c>
      <c r="X855" s="1658"/>
      <c r="Y855" s="1658"/>
      <c r="Z855" s="1658"/>
      <c r="AA855" s="1658"/>
      <c r="AB855" s="1658"/>
      <c r="AC855" s="165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57">
        <f>W823+W831+W838+W839+W848+W855+W825</f>
        <v>403200</v>
      </c>
      <c r="AD859" s="1658"/>
      <c r="AE859" s="1658"/>
      <c r="AF859" s="1658"/>
      <c r="AG859" s="1658"/>
      <c r="AH859" s="165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993">
        <f>O774+O754+G729</f>
        <v>63</v>
      </c>
      <c r="AD860" s="1994"/>
      <c r="AE860" s="1994"/>
      <c r="AF860" s="1994"/>
      <c r="AG860" s="1994"/>
      <c r="AH860" s="1995"/>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990" t="s">
        <v>385</v>
      </c>
      <c r="F861" s="1991"/>
      <c r="G861" s="1991"/>
      <c r="H861" s="1991"/>
      <c r="I861" s="1991"/>
      <c r="J861" s="1991"/>
      <c r="K861" s="1991"/>
      <c r="L861" s="1991"/>
      <c r="M861" s="1991"/>
      <c r="N861" s="1991"/>
      <c r="O861" s="1991"/>
      <c r="P861" s="1991"/>
      <c r="Q861" s="1991"/>
      <c r="R861" s="1991"/>
      <c r="S861" s="1991"/>
      <c r="T861" s="1991"/>
      <c r="U861" s="1991"/>
      <c r="V861" s="1991"/>
      <c r="W861" s="1991"/>
      <c r="X861" s="1991"/>
      <c r="Y861" s="1991"/>
      <c r="Z861" s="1991"/>
      <c r="AA861" s="1991"/>
      <c r="AB861" s="1992"/>
      <c r="AC861" s="1988">
        <f>IF(ISERROR((ROUNDDOWN(AC859/AC860,0))),0,(ROUNDDOWN(AC859/AC860,0)))</f>
        <v>6400</v>
      </c>
      <c r="AD861" s="1989"/>
      <c r="AE861" s="1989"/>
      <c r="AF861" s="1989"/>
      <c r="AG861" s="1989"/>
      <c r="AH861" s="1989"/>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5" t="s">
        <v>706</v>
      </c>
      <c r="AC862" s="1662">
        <f>'Sources and Uses Budget'!C74</f>
        <v>285409</v>
      </c>
      <c r="AD862" s="1902"/>
      <c r="AE862" s="1902"/>
      <c r="AF862" s="1902"/>
      <c r="AG862" s="1902"/>
      <c r="AH862" s="1902"/>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53"/>
      <c r="AD863" s="1645"/>
      <c r="AE863" s="1645"/>
      <c r="AF863" s="1645"/>
      <c r="AG863" s="1645"/>
      <c r="AH863" s="164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51">
        <f>167400+20000</f>
        <v>187400</v>
      </c>
      <c r="AD864" s="1652"/>
      <c r="AE864" s="1652"/>
      <c r="AF864" s="1652"/>
      <c r="AG864" s="1652"/>
      <c r="AH864" s="165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51">
        <v>18900</v>
      </c>
      <c r="AD865" s="1652"/>
      <c r="AE865" s="1652"/>
      <c r="AF865" s="1652"/>
      <c r="AG865" s="1652"/>
      <c r="AH865" s="1653"/>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5" t="s">
        <v>2224</v>
      </c>
      <c r="AC866" s="1651">
        <v>7150</v>
      </c>
      <c r="AD866" s="1652"/>
      <c r="AE866" s="1652"/>
      <c r="AF866" s="1652"/>
      <c r="AG866" s="1652"/>
      <c r="AH866" s="1653"/>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5" t="s">
        <v>774</v>
      </c>
      <c r="AC867" s="1651">
        <v>5000</v>
      </c>
      <c r="AD867" s="1652"/>
      <c r="AE867" s="1652"/>
      <c r="AF867" s="1652"/>
      <c r="AG867" s="1652"/>
      <c r="AH867" s="1653"/>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5" t="s">
        <v>2223</v>
      </c>
      <c r="AC868" s="1644"/>
      <c r="AD868" s="1645"/>
      <c r="AE868" s="1645"/>
      <c r="AF868" s="1645"/>
      <c r="AG868" s="1645"/>
      <c r="AH868" s="164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872" t="s">
        <v>1341</v>
      </c>
      <c r="F869" s="1873"/>
      <c r="G869" s="1873"/>
      <c r="H869" s="1873"/>
      <c r="I869" s="1873"/>
      <c r="J869" s="1873"/>
      <c r="K869" s="1873"/>
      <c r="L869" s="1873"/>
      <c r="M869" s="1873"/>
      <c r="N869" s="1873"/>
      <c r="O869" s="1873"/>
      <c r="P869" s="1873"/>
      <c r="Q869" s="1873"/>
      <c r="R869" s="1873"/>
      <c r="S869" s="1873"/>
      <c r="T869" s="1873"/>
      <c r="U869" s="1873"/>
      <c r="V869" s="1873"/>
      <c r="W869" s="1873"/>
      <c r="X869" s="1873"/>
      <c r="Y869" s="1873"/>
      <c r="Z869" s="1873"/>
      <c r="AA869" s="1873"/>
      <c r="AB869" s="1874"/>
      <c r="AC869" s="1645"/>
      <c r="AD869" s="1645"/>
      <c r="AE869" s="1645"/>
      <c r="AF869" s="1645"/>
      <c r="AG869" s="1645"/>
      <c r="AH869" s="1645"/>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72" t="s">
        <v>1341</v>
      </c>
      <c r="F870" s="1873"/>
      <c r="G870" s="1873"/>
      <c r="H870" s="1873"/>
      <c r="I870" s="1873"/>
      <c r="J870" s="1873"/>
      <c r="K870" s="1873"/>
      <c r="L870" s="1873"/>
      <c r="M870" s="1873"/>
      <c r="N870" s="1873"/>
      <c r="O870" s="1873"/>
      <c r="P870" s="1873"/>
      <c r="Q870" s="1873"/>
      <c r="R870" s="1873"/>
      <c r="S870" s="1873"/>
      <c r="T870" s="1873"/>
      <c r="U870" s="1873"/>
      <c r="V870" s="1873"/>
      <c r="W870" s="1873"/>
      <c r="X870" s="1873"/>
      <c r="Y870" s="1873"/>
      <c r="Z870" s="1873"/>
      <c r="AA870" s="1873"/>
      <c r="AB870" s="1874"/>
      <c r="AC870" s="1645"/>
      <c r="AD870" s="1645"/>
      <c r="AE870" s="1645"/>
      <c r="AF870" s="1645"/>
      <c r="AG870" s="1645"/>
      <c r="AH870" s="164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01"/>
      <c r="AD871" s="1901"/>
      <c r="AE871" s="1901"/>
      <c r="AF871" s="1901"/>
      <c r="AG871" s="1901"/>
      <c r="AH871" s="1901"/>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005"/>
      <c r="AO872" s="2005"/>
      <c r="AP872" s="1998"/>
      <c r="AQ872" s="1998"/>
      <c r="AR872" s="1998"/>
      <c r="AS872" s="1998"/>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998"/>
      <c r="AQ873" s="1998"/>
      <c r="AR873" s="1998"/>
      <c r="AS873" s="1998"/>
      <c r="AV873" s="1998"/>
      <c r="AW873" s="1998"/>
      <c r="AX873" s="1998"/>
      <c r="AY873" s="1998"/>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51"/>
      <c r="AA874" s="1652"/>
      <c r="AB874" s="1652"/>
      <c r="AC874" s="1652"/>
      <c r="AD874" s="1652"/>
      <c r="AE874" s="165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51"/>
      <c r="AA875" s="1652"/>
      <c r="AB875" s="1652"/>
      <c r="AC875" s="1652"/>
      <c r="AD875" s="1652"/>
      <c r="AE875" s="165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51"/>
      <c r="AA876" s="1652"/>
      <c r="AB876" s="1652"/>
      <c r="AC876" s="1652"/>
      <c r="AD876" s="1652"/>
      <c r="AE876" s="165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57">
        <f>Z874-(Z875+Z876)</f>
        <v>0</v>
      </c>
      <c r="AA877" s="1658"/>
      <c r="AB877" s="1658"/>
      <c r="AC877" s="1658"/>
      <c r="AD877" s="1658"/>
      <c r="AE877" s="165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004"/>
      <c r="AU880" s="2004"/>
      <c r="AV880" s="2004"/>
      <c r="AW880" s="2004"/>
      <c r="AX880" s="2004"/>
      <c r="AY880" s="2004"/>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701" t="s">
        <v>140</v>
      </c>
      <c r="B884" s="1701"/>
      <c r="C884" s="1701"/>
      <c r="D884" s="1701"/>
      <c r="E884" s="1701"/>
      <c r="F884" s="1701"/>
      <c r="G884" s="1701"/>
      <c r="H884" s="1701"/>
      <c r="I884" s="1701"/>
      <c r="J884" s="1701"/>
      <c r="K884" s="1701"/>
      <c r="L884" s="1701"/>
      <c r="M884" s="1701"/>
      <c r="N884" s="1701"/>
      <c r="O884" s="1701"/>
      <c r="P884" s="1701"/>
      <c r="Q884" s="1701"/>
      <c r="R884" s="1701"/>
      <c r="S884" s="1701"/>
      <c r="T884" s="1701"/>
      <c r="U884" s="1701"/>
      <c r="V884" s="1701"/>
      <c r="W884" s="1701"/>
      <c r="X884" s="1701"/>
      <c r="Y884" s="1701"/>
      <c r="Z884" s="1701"/>
      <c r="AA884" s="1701"/>
      <c r="AB884" s="1701"/>
      <c r="AC884" s="1701"/>
      <c r="AD884" s="1701"/>
      <c r="AE884" s="1701"/>
      <c r="AF884" s="1701"/>
      <c r="AG884" s="1701"/>
      <c r="AH884" s="1701"/>
      <c r="AI884" s="1701"/>
      <c r="AJ884" s="1701"/>
      <c r="AK884" s="1701"/>
      <c r="AL884" s="170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701"/>
      <c r="B885" s="1701"/>
      <c r="C885" s="1701"/>
      <c r="D885" s="1701"/>
      <c r="E885" s="1701"/>
      <c r="F885" s="1701"/>
      <c r="G885" s="1701"/>
      <c r="H885" s="1701"/>
      <c r="I885" s="1701"/>
      <c r="J885" s="1701"/>
      <c r="K885" s="1701"/>
      <c r="L885" s="1701"/>
      <c r="M885" s="1701"/>
      <c r="N885" s="1701"/>
      <c r="O885" s="1701"/>
      <c r="P885" s="1701"/>
      <c r="Q885" s="1701"/>
      <c r="R885" s="1701"/>
      <c r="S885" s="1701"/>
      <c r="T885" s="1701"/>
      <c r="U885" s="1701"/>
      <c r="V885" s="1701"/>
      <c r="W885" s="1701"/>
      <c r="X885" s="1701"/>
      <c r="Y885" s="1701"/>
      <c r="Z885" s="1701"/>
      <c r="AA885" s="1701"/>
      <c r="AB885" s="1701"/>
      <c r="AC885" s="1701"/>
      <c r="AD885" s="1701"/>
      <c r="AE885" s="1701"/>
      <c r="AF885" s="1701"/>
      <c r="AG885" s="1701"/>
      <c r="AH885" s="1701"/>
      <c r="AI885" s="1701"/>
      <c r="AJ885" s="1701"/>
      <c r="AK885" s="1701"/>
      <c r="AL885" s="170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03" t="s">
        <v>1065</v>
      </c>
      <c r="G889" s="1904"/>
      <c r="H889" s="1904"/>
      <c r="I889" s="1904"/>
      <c r="J889" s="1904"/>
      <c r="K889" s="1904"/>
      <c r="L889" s="1904"/>
      <c r="M889" s="1904"/>
      <c r="N889" s="1904"/>
      <c r="O889" s="1904"/>
      <c r="P889" s="1904"/>
      <c r="Q889" s="1904"/>
      <c r="R889" s="1904"/>
      <c r="S889" s="1904"/>
      <c r="T889" s="1905"/>
      <c r="U889" s="1907" t="s">
        <v>384</v>
      </c>
      <c r="V889" s="1836"/>
      <c r="W889" s="1836"/>
      <c r="X889" s="1836"/>
      <c r="Y889" s="1836"/>
      <c r="Z889" s="1836"/>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908" t="s">
        <v>1155</v>
      </c>
      <c r="G890" s="1909"/>
      <c r="H890" s="1909"/>
      <c r="I890" s="1909"/>
      <c r="J890" s="1909"/>
      <c r="K890" s="1909"/>
      <c r="L890" s="1909"/>
      <c r="M890" s="1909"/>
      <c r="N890" s="1909"/>
      <c r="O890" s="1909"/>
      <c r="P890" s="1909"/>
      <c r="Q890" s="1909"/>
      <c r="R890" s="1909"/>
      <c r="S890" s="1909"/>
      <c r="T890" s="1910"/>
      <c r="U890" s="1908"/>
      <c r="V890" s="1909"/>
      <c r="W890" s="1909"/>
      <c r="X890" s="1909"/>
      <c r="Y890" s="1909"/>
      <c r="Z890" s="190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911"/>
      <c r="G891" s="1912"/>
      <c r="H891" s="1912"/>
      <c r="I891" s="1912"/>
      <c r="J891" s="1912"/>
      <c r="K891" s="1912"/>
      <c r="L891" s="1912"/>
      <c r="M891" s="1912"/>
      <c r="N891" s="1912"/>
      <c r="O891" s="1912"/>
      <c r="P891" s="1912"/>
      <c r="Q891" s="1912"/>
      <c r="R891" s="1912"/>
      <c r="S891" s="1912"/>
      <c r="T891" s="1913"/>
      <c r="U891" s="1911"/>
      <c r="V891" s="1912"/>
      <c r="W891" s="1912"/>
      <c r="X891" s="1912"/>
      <c r="Y891" s="1912"/>
      <c r="Z891" s="1912"/>
      <c r="AA891" s="310"/>
      <c r="AB891" s="1996" t="s">
        <v>61</v>
      </c>
      <c r="AC891" s="1996"/>
      <c r="AD891" s="1996"/>
      <c r="AE891" s="1996"/>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63" t="s">
        <v>136</v>
      </c>
      <c r="V892" s="1664"/>
      <c r="W892" s="1664"/>
      <c r="X892" s="1664"/>
      <c r="Y892" s="1664"/>
      <c r="Z892" s="1665"/>
      <c r="AA892" s="1660"/>
      <c r="AB892" s="1661"/>
      <c r="AC892" s="1661"/>
      <c r="AD892" s="1661"/>
      <c r="AE892" s="1661"/>
      <c r="AF892" s="166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63" t="s">
        <v>136</v>
      </c>
      <c r="V893" s="1664"/>
      <c r="W893" s="1664"/>
      <c r="X893" s="1664"/>
      <c r="Y893" s="1664"/>
      <c r="Z893" s="1665"/>
      <c r="AA893" s="1660"/>
      <c r="AB893" s="1661"/>
      <c r="AC893" s="1661"/>
      <c r="AD893" s="1661"/>
      <c r="AE893" s="1661"/>
      <c r="AF893" s="166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663" t="s">
        <v>136</v>
      </c>
      <c r="V894" s="1664"/>
      <c r="W894" s="1664"/>
      <c r="X894" s="1664"/>
      <c r="Y894" s="1664"/>
      <c r="Z894" s="1665"/>
      <c r="AA894" s="1660"/>
      <c r="AB894" s="1661"/>
      <c r="AC894" s="1661"/>
      <c r="AD894" s="1661"/>
      <c r="AE894" s="1661"/>
      <c r="AF894" s="166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663" t="s">
        <v>136</v>
      </c>
      <c r="V895" s="1664"/>
      <c r="W895" s="1664"/>
      <c r="X895" s="1664"/>
      <c r="Y895" s="1664"/>
      <c r="Z895" s="1665"/>
      <c r="AA895" s="1660"/>
      <c r="AB895" s="1661"/>
      <c r="AC895" s="1661"/>
      <c r="AD895" s="1661"/>
      <c r="AE895" s="1661"/>
      <c r="AF895" s="166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663" t="s">
        <v>136</v>
      </c>
      <c r="V896" s="1664"/>
      <c r="W896" s="1664"/>
      <c r="X896" s="1664"/>
      <c r="Y896" s="1664"/>
      <c r="Z896" s="1665"/>
      <c r="AA896" s="1660"/>
      <c r="AB896" s="1661"/>
      <c r="AC896" s="1661"/>
      <c r="AD896" s="1661"/>
      <c r="AE896" s="1661"/>
      <c r="AF896" s="166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63" t="s">
        <v>136</v>
      </c>
      <c r="V897" s="1664"/>
      <c r="W897" s="1664"/>
      <c r="X897" s="1664"/>
      <c r="Y897" s="1664"/>
      <c r="Z897" s="1665"/>
      <c r="AA897" s="1660"/>
      <c r="AB897" s="1661"/>
      <c r="AC897" s="1661"/>
      <c r="AD897" s="1661"/>
      <c r="AE897" s="1661"/>
      <c r="AF897" s="166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63" t="s">
        <v>136</v>
      </c>
      <c r="V898" s="1664"/>
      <c r="W898" s="1664"/>
      <c r="X898" s="1664"/>
      <c r="Y898" s="1664"/>
      <c r="Z898" s="1665"/>
      <c r="AA898" s="1660"/>
      <c r="AB898" s="1661"/>
      <c r="AC898" s="1661"/>
      <c r="AD898" s="1661"/>
      <c r="AE898" s="1661"/>
      <c r="AF898" s="166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63" t="s">
        <v>136</v>
      </c>
      <c r="V899" s="1664"/>
      <c r="W899" s="1664"/>
      <c r="X899" s="1664"/>
      <c r="Y899" s="1664"/>
      <c r="Z899" s="1665"/>
      <c r="AA899" s="1660"/>
      <c r="AB899" s="1661"/>
      <c r="AC899" s="1661"/>
      <c r="AD899" s="1661"/>
      <c r="AE899" s="1661"/>
      <c r="AF899" s="166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663" t="s">
        <v>136</v>
      </c>
      <c r="V900" s="1664"/>
      <c r="W900" s="1664"/>
      <c r="X900" s="1664"/>
      <c r="Y900" s="1664"/>
      <c r="Z900" s="1665"/>
      <c r="AA900" s="1660"/>
      <c r="AB900" s="1661"/>
      <c r="AC900" s="1661"/>
      <c r="AD900" s="1661"/>
      <c r="AE900" s="1661"/>
      <c r="AF900" s="166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663" t="s">
        <v>136</v>
      </c>
      <c r="V901" s="1664"/>
      <c r="W901" s="1664"/>
      <c r="X901" s="1664"/>
      <c r="Y901" s="1664"/>
      <c r="Z901" s="1665"/>
      <c r="AA901" s="1660"/>
      <c r="AB901" s="1661"/>
      <c r="AC901" s="1661"/>
      <c r="AD901" s="1661"/>
      <c r="AE901" s="1661"/>
      <c r="AF901" s="166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767" t="s">
        <v>136</v>
      </c>
      <c r="V902" s="1768"/>
      <c r="W902" s="1768"/>
      <c r="X902" s="1768"/>
      <c r="Y902" s="1768"/>
      <c r="Z902" s="2000"/>
      <c r="AA902" s="2001"/>
      <c r="AB902" s="2002"/>
      <c r="AC902" s="2002"/>
      <c r="AD902" s="2002"/>
      <c r="AE902" s="2002"/>
      <c r="AF902" s="2003"/>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663" t="s">
        <v>136</v>
      </c>
      <c r="V903" s="1664"/>
      <c r="W903" s="1664"/>
      <c r="X903" s="1664"/>
      <c r="Y903" s="1664"/>
      <c r="Z903" s="1665"/>
      <c r="AA903" s="1660"/>
      <c r="AB903" s="1661"/>
      <c r="AC903" s="1661"/>
      <c r="AD903" s="1661"/>
      <c r="AE903" s="1661"/>
      <c r="AF903" s="166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663" t="s">
        <v>136</v>
      </c>
      <c r="V904" s="1664"/>
      <c r="W904" s="1664"/>
      <c r="X904" s="1664"/>
      <c r="Y904" s="1664"/>
      <c r="Z904" s="1665"/>
      <c r="AA904" s="1660"/>
      <c r="AB904" s="1661"/>
      <c r="AC904" s="1661"/>
      <c r="AD904" s="1661"/>
      <c r="AE904" s="1661"/>
      <c r="AF904" s="166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63" t="s">
        <v>136</v>
      </c>
      <c r="V905" s="1664"/>
      <c r="W905" s="1664"/>
      <c r="X905" s="1664"/>
      <c r="Y905" s="1664"/>
      <c r="Z905" s="1665"/>
      <c r="AA905" s="1660"/>
      <c r="AB905" s="1661"/>
      <c r="AC905" s="1661"/>
      <c r="AD905" s="1661"/>
      <c r="AE905" s="1661"/>
      <c r="AF905" s="166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6" t="s">
        <v>531</v>
      </c>
      <c r="Q906" s="1664"/>
      <c r="R906" s="1664"/>
      <c r="S906" s="1664"/>
      <c r="T906" s="1665"/>
      <c r="U906" s="1663" t="s">
        <v>136</v>
      </c>
      <c r="V906" s="1664"/>
      <c r="W906" s="1664"/>
      <c r="X906" s="1664"/>
      <c r="Y906" s="1664"/>
      <c r="Z906" s="1665"/>
      <c r="AA906" s="1660"/>
      <c r="AB906" s="1661"/>
      <c r="AC906" s="1661"/>
      <c r="AD906" s="1661"/>
      <c r="AE906" s="1661"/>
      <c r="AF906" s="166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984" t="s">
        <v>622</v>
      </c>
      <c r="J907" s="1985"/>
      <c r="K907" s="1985"/>
      <c r="L907" s="1985"/>
      <c r="M907" s="1985"/>
      <c r="N907" s="1985"/>
      <c r="O907" s="1985"/>
      <c r="P907" s="1985"/>
      <c r="Q907" s="1985"/>
      <c r="R907" s="1985"/>
      <c r="S907" s="1985"/>
      <c r="T907" s="1986"/>
      <c r="U907" s="1663" t="s">
        <v>136</v>
      </c>
      <c r="V907" s="1664"/>
      <c r="W907" s="1664"/>
      <c r="X907" s="1664"/>
      <c r="Y907" s="1664"/>
      <c r="Z907" s="1665"/>
      <c r="AA907" s="1660"/>
      <c r="AB907" s="1661"/>
      <c r="AC907" s="1661"/>
      <c r="AD907" s="1661"/>
      <c r="AE907" s="1661"/>
      <c r="AF907" s="166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999" t="s">
        <v>2489</v>
      </c>
      <c r="J908" s="1985"/>
      <c r="K908" s="1985"/>
      <c r="L908" s="1985"/>
      <c r="M908" s="1985"/>
      <c r="N908" s="1985"/>
      <c r="O908" s="1985"/>
      <c r="P908" s="1985"/>
      <c r="Q908" s="1985"/>
      <c r="R908" s="1985"/>
      <c r="S908" s="1985"/>
      <c r="T908" s="1986"/>
      <c r="U908" s="1663" t="s">
        <v>119</v>
      </c>
      <c r="V908" s="1664"/>
      <c r="W908" s="1664"/>
      <c r="X908" s="1664"/>
      <c r="Y908" s="1664"/>
      <c r="Z908" s="1665"/>
      <c r="AA908" s="1660">
        <v>2000000</v>
      </c>
      <c r="AB908" s="1661"/>
      <c r="AC908" s="1661"/>
      <c r="AD908" s="1661"/>
      <c r="AE908" s="1661"/>
      <c r="AF908" s="166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984" t="s">
        <v>622</v>
      </c>
      <c r="J909" s="1985"/>
      <c r="K909" s="1985"/>
      <c r="L909" s="1985"/>
      <c r="M909" s="1985"/>
      <c r="N909" s="1985"/>
      <c r="O909" s="1985"/>
      <c r="P909" s="1985"/>
      <c r="Q909" s="1985"/>
      <c r="R909" s="1985"/>
      <c r="S909" s="1985"/>
      <c r="T909" s="1986"/>
      <c r="U909" s="1663" t="s">
        <v>136</v>
      </c>
      <c r="V909" s="1664"/>
      <c r="W909" s="1664"/>
      <c r="X909" s="1664"/>
      <c r="Y909" s="1664"/>
      <c r="Z909" s="1665"/>
      <c r="AA909" s="1660"/>
      <c r="AB909" s="1661"/>
      <c r="AC909" s="1661"/>
      <c r="AD909" s="1661"/>
      <c r="AE909" s="1661"/>
      <c r="AF909" s="166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984" t="s">
        <v>622</v>
      </c>
      <c r="J910" s="1985"/>
      <c r="K910" s="1985"/>
      <c r="L910" s="1985"/>
      <c r="M910" s="1985"/>
      <c r="N910" s="1985"/>
      <c r="O910" s="1985"/>
      <c r="P910" s="1985"/>
      <c r="Q910" s="1985"/>
      <c r="R910" s="1985"/>
      <c r="S910" s="1985"/>
      <c r="T910" s="1986"/>
      <c r="U910" s="1663" t="s">
        <v>136</v>
      </c>
      <c r="V910" s="1664"/>
      <c r="W910" s="1664"/>
      <c r="X910" s="1664"/>
      <c r="Y910" s="1664"/>
      <c r="Z910" s="1665"/>
      <c r="AA910" s="1660"/>
      <c r="AB910" s="1661"/>
      <c r="AC910" s="1661"/>
      <c r="AD910" s="1661"/>
      <c r="AE910" s="1661"/>
      <c r="AF910" s="166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006">
        <v>44243</v>
      </c>
      <c r="M915" s="1813"/>
      <c r="N915" s="1813"/>
      <c r="O915" s="1813"/>
      <c r="P915" s="1813"/>
      <c r="Q915" s="1813"/>
      <c r="R915" s="1813"/>
      <c r="S915" s="2007"/>
      <c r="U915" s="117" t="s">
        <v>909</v>
      </c>
      <c r="V915" s="91"/>
      <c r="W915" s="91"/>
      <c r="X915" s="91"/>
      <c r="Y915" s="91"/>
      <c r="Z915" s="91"/>
      <c r="AA915" s="91"/>
      <c r="AB915" s="91"/>
      <c r="AC915" s="91"/>
      <c r="AD915" s="92"/>
      <c r="AE915" s="2006"/>
      <c r="AF915" s="1812"/>
      <c r="AG915" s="1812"/>
      <c r="AH915" s="1812"/>
      <c r="AI915" s="1812"/>
      <c r="AJ915" s="1812"/>
      <c r="AK915" s="189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019" t="s">
        <v>2445</v>
      </c>
      <c r="M916" s="1813"/>
      <c r="N916" s="1813"/>
      <c r="O916" s="1813"/>
      <c r="P916" s="1813"/>
      <c r="Q916" s="1813"/>
      <c r="R916" s="1813"/>
      <c r="S916" s="2007"/>
      <c r="U916" s="117" t="s">
        <v>910</v>
      </c>
      <c r="V916" s="91"/>
      <c r="W916" s="91"/>
      <c r="X916" s="91"/>
      <c r="Y916" s="91"/>
      <c r="Z916" s="91"/>
      <c r="AA916" s="91"/>
      <c r="AB916" s="91"/>
      <c r="AC916" s="91"/>
      <c r="AD916" s="92"/>
      <c r="AE916" s="2055"/>
      <c r="AF916" s="2056"/>
      <c r="AG916" s="2056"/>
      <c r="AH916" s="2056"/>
      <c r="AI916" s="2056"/>
      <c r="AJ916" s="2056"/>
      <c r="AK916" s="2057"/>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016" t="s">
        <v>2490</v>
      </c>
      <c r="M917" s="2017"/>
      <c r="N917" s="2017"/>
      <c r="O917" s="2017"/>
      <c r="P917" s="2017"/>
      <c r="Q917" s="2017"/>
      <c r="R917" s="2017"/>
      <c r="S917" s="2018"/>
      <c r="U917" s="117" t="s">
        <v>1227</v>
      </c>
      <c r="V917" s="91"/>
      <c r="W917" s="91"/>
      <c r="AE917" s="2022" t="s">
        <v>86</v>
      </c>
      <c r="AF917" s="2023"/>
      <c r="AG917" s="2023"/>
      <c r="AH917" s="2023"/>
      <c r="AI917" s="2023"/>
      <c r="AJ917" s="2023"/>
      <c r="AK917" s="2024"/>
      <c r="AL917" s="119"/>
      <c r="AM917" s="75"/>
      <c r="AN917" s="75"/>
      <c r="AO917" s="75"/>
      <c r="AP917" s="75"/>
      <c r="AQ917" s="75"/>
      <c r="AR917" s="75"/>
      <c r="AS917" s="75"/>
      <c r="AT917" s="75"/>
      <c r="AU917" s="75"/>
      <c r="AV917" s="75"/>
      <c r="AW917" s="66" t="s">
        <v>649</v>
      </c>
      <c r="AX917" s="319">
        <v>20</v>
      </c>
      <c r="AY917" s="2008">
        <f>IF(AD953&gt;0,0.2,0)</f>
        <v>0</v>
      </c>
      <c r="AZ917" s="2008"/>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039">
        <v>0.5</v>
      </c>
      <c r="M918" s="2040"/>
      <c r="N918" s="2040"/>
      <c r="O918" s="2040"/>
      <c r="P918" s="2040"/>
      <c r="Q918" s="2040"/>
      <c r="R918" s="2040"/>
      <c r="S918" s="2041"/>
      <c r="U918" s="117" t="s">
        <v>911</v>
      </c>
      <c r="V918" s="91"/>
      <c r="W918" s="91"/>
      <c r="X918" s="91"/>
      <c r="Y918" s="91"/>
      <c r="Z918" s="91"/>
      <c r="AA918" s="91"/>
      <c r="AB918" s="91"/>
      <c r="AC918" s="91"/>
      <c r="AD918" s="92"/>
      <c r="AE918" s="2039"/>
      <c r="AF918" s="2040"/>
      <c r="AG918" s="2040"/>
      <c r="AH918" s="2040"/>
      <c r="AI918" s="2040"/>
      <c r="AJ918" s="2040"/>
      <c r="AK918" s="2041"/>
      <c r="AL918" s="119"/>
      <c r="AM918" s="75"/>
      <c r="AN918" s="75"/>
      <c r="AO918" s="75"/>
      <c r="AP918" s="75"/>
      <c r="AQ918" s="75"/>
      <c r="AR918" s="75"/>
      <c r="AS918" s="75"/>
      <c r="AT918" s="75"/>
      <c r="AU918" s="75"/>
      <c r="AV918" s="75"/>
      <c r="AX918" s="16">
        <v>5</v>
      </c>
      <c r="AY918" s="2008">
        <f>IF(AD956&gt;0,0.05,0)</f>
        <v>0</v>
      </c>
      <c r="AZ918" s="2008"/>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036">
        <v>31</v>
      </c>
      <c r="M919" s="2037"/>
      <c r="N919" s="2037"/>
      <c r="O919" s="2037"/>
      <c r="P919" s="2037"/>
      <c r="Q919" s="2037"/>
      <c r="R919" s="2037"/>
      <c r="S919" s="2038"/>
      <c r="U919" s="117" t="s">
        <v>912</v>
      </c>
      <c r="V919" s="91"/>
      <c r="W919" s="91"/>
      <c r="X919" s="91"/>
      <c r="Y919" s="91"/>
      <c r="Z919" s="91"/>
      <c r="AA919" s="91"/>
      <c r="AB919" s="91"/>
      <c r="AC919" s="91"/>
      <c r="AD919" s="92"/>
      <c r="AE919" s="1885"/>
      <c r="AF919" s="1876"/>
      <c r="AG919" s="1876"/>
      <c r="AH919" s="1876"/>
      <c r="AI919" s="1876"/>
      <c r="AJ919" s="1876"/>
      <c r="AK919" s="1877"/>
      <c r="AL919" s="119"/>
      <c r="AM919" s="75"/>
      <c r="AN919" s="75"/>
      <c r="AO919" s="75"/>
      <c r="AP919" s="75"/>
      <c r="AQ919" s="75"/>
      <c r="AR919" s="75"/>
      <c r="AS919" s="75"/>
      <c r="AT919" s="75"/>
      <c r="AU919" s="75"/>
      <c r="AV919" s="75"/>
      <c r="AW919" s="66" t="s">
        <v>650</v>
      </c>
      <c r="AX919" s="319">
        <v>7</v>
      </c>
      <c r="AY919" s="1983">
        <f>IF(AD960&gt;0,0.07,0)</f>
        <v>0</v>
      </c>
      <c r="AZ919" s="198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51">
        <f>'Subsidy Contract Calculation'!F30</f>
        <v>589380</v>
      </c>
      <c r="M920" s="1652"/>
      <c r="N920" s="1652"/>
      <c r="O920" s="1652"/>
      <c r="P920" s="1652"/>
      <c r="Q920" s="1652"/>
      <c r="R920" s="1652"/>
      <c r="S920" s="1653"/>
      <c r="U920" s="117" t="s">
        <v>913</v>
      </c>
      <c r="V920" s="91"/>
      <c r="W920" s="91"/>
      <c r="X920" s="91"/>
      <c r="Y920" s="91"/>
      <c r="Z920" s="91"/>
      <c r="AA920" s="91"/>
      <c r="AB920" s="91"/>
      <c r="AC920" s="91"/>
      <c r="AD920" s="92"/>
      <c r="AE920" s="1660"/>
      <c r="AF920" s="1661"/>
      <c r="AG920" s="1661"/>
      <c r="AH920" s="1661"/>
      <c r="AI920" s="1661"/>
      <c r="AJ920" s="1661"/>
      <c r="AK920" s="1662"/>
      <c r="AL920" s="119"/>
      <c r="AM920" s="75"/>
      <c r="AN920" s="75"/>
      <c r="AO920" s="75"/>
      <c r="AP920" s="75"/>
      <c r="AQ920" s="75"/>
      <c r="AR920" s="75"/>
      <c r="AS920" s="75"/>
      <c r="AT920" s="75"/>
      <c r="AU920" s="75"/>
      <c r="AV920" s="75"/>
      <c r="AW920" s="66" t="s">
        <v>164</v>
      </c>
      <c r="AX920" s="319">
        <v>2</v>
      </c>
      <c r="AY920" s="2013">
        <f>IF(AD964&gt;0,0.02,0)</f>
        <v>0</v>
      </c>
      <c r="AZ920" s="2014"/>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51">
        <f>L922*L920</f>
        <v>11787600</v>
      </c>
      <c r="M921" s="1652"/>
      <c r="N921" s="1652"/>
      <c r="O921" s="1652"/>
      <c r="P921" s="1652"/>
      <c r="Q921" s="1652"/>
      <c r="R921" s="1652"/>
      <c r="S921" s="1653"/>
      <c r="U921" s="117" t="s">
        <v>914</v>
      </c>
      <c r="V921" s="91"/>
      <c r="W921" s="91"/>
      <c r="X921" s="91"/>
      <c r="Y921" s="91"/>
      <c r="Z921" s="91"/>
      <c r="AA921" s="91"/>
      <c r="AB921" s="91"/>
      <c r="AC921" s="91"/>
      <c r="AD921" s="92"/>
      <c r="AE921" s="1660"/>
      <c r="AF921" s="1661"/>
      <c r="AG921" s="1661"/>
      <c r="AH921" s="1661"/>
      <c r="AI921" s="1661"/>
      <c r="AJ921" s="1661"/>
      <c r="AK921" s="1662"/>
      <c r="AL921" s="119"/>
      <c r="AM921" s="75"/>
      <c r="AN921" s="75"/>
      <c r="AO921" s="75"/>
      <c r="AP921" s="75"/>
      <c r="AQ921" s="75"/>
      <c r="AR921" s="75"/>
      <c r="AS921" s="75"/>
      <c r="AT921" s="75"/>
      <c r="AU921" s="75"/>
      <c r="AV921" s="75"/>
      <c r="AW921" s="66" t="s">
        <v>651</v>
      </c>
      <c r="AX921" s="319">
        <v>2</v>
      </c>
      <c r="AY921" s="2013">
        <f>IF(AD966&gt;0,0.02,0)</f>
        <v>0</v>
      </c>
      <c r="AZ921" s="201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025" t="s">
        <v>2491</v>
      </c>
      <c r="M922" s="2026"/>
      <c r="N922" s="2026"/>
      <c r="O922" s="2026"/>
      <c r="P922" s="2026"/>
      <c r="Q922" s="2026"/>
      <c r="R922" s="2026"/>
      <c r="S922" s="2027"/>
      <c r="U922" s="117" t="s">
        <v>859</v>
      </c>
      <c r="V922" s="91"/>
      <c r="W922" s="91"/>
      <c r="X922" s="91"/>
      <c r="Y922" s="91"/>
      <c r="Z922" s="91"/>
      <c r="AA922" s="91"/>
      <c r="AB922" s="91"/>
      <c r="AC922" s="91"/>
      <c r="AD922" s="92"/>
      <c r="AE922" s="2025"/>
      <c r="AF922" s="2026"/>
      <c r="AG922" s="2026"/>
      <c r="AH922" s="2026"/>
      <c r="AI922" s="2026"/>
      <c r="AJ922" s="2026"/>
      <c r="AK922" s="2027"/>
      <c r="AL922" s="119"/>
      <c r="AM922" s="75"/>
      <c r="AN922" s="75"/>
      <c r="AO922" s="75"/>
      <c r="AP922" s="75"/>
      <c r="AQ922" s="75"/>
      <c r="AR922" s="75"/>
      <c r="AS922" s="75"/>
      <c r="AT922" s="75"/>
      <c r="AU922" s="75"/>
      <c r="AV922" s="75"/>
      <c r="AW922" s="66" t="s">
        <v>652</v>
      </c>
      <c r="AX922" s="319">
        <v>10</v>
      </c>
      <c r="AY922" s="2028">
        <f>AY930</f>
        <v>0</v>
      </c>
      <c r="AZ922" s="202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013"/>
      <c r="AZ923" s="201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030"/>
      <c r="AZ924" s="2031"/>
      <c r="BA924" s="203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013">
        <f>IF(AD983&gt;0,0.1,0)</f>
        <v>0</v>
      </c>
      <c r="AZ925" s="2014"/>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028">
        <f>SUM(AY917:AY925)</f>
        <v>0</v>
      </c>
      <c r="AZ926" s="2029"/>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020"/>
      <c r="N927" s="2021"/>
      <c r="O927" s="2021"/>
      <c r="P927" s="2021"/>
      <c r="Q927" s="2021"/>
      <c r="R927" s="2021"/>
      <c r="S927" s="1644"/>
      <c r="T927" s="117" t="s">
        <v>1054</v>
      </c>
      <c r="U927" s="91"/>
      <c r="V927" s="91"/>
      <c r="W927" s="91"/>
      <c r="X927" s="91"/>
      <c r="Y927" s="91"/>
      <c r="Z927" s="92"/>
      <c r="AA927" s="2020"/>
      <c r="AB927" s="2021"/>
      <c r="AC927" s="2021"/>
      <c r="AD927" s="2021"/>
      <c r="AE927" s="2021"/>
      <c r="AF927" s="2021"/>
      <c r="AG927" s="164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020"/>
      <c r="N928" s="2021"/>
      <c r="O928" s="2021"/>
      <c r="P928" s="2021"/>
      <c r="Q928" s="2021"/>
      <c r="R928" s="2021"/>
      <c r="S928" s="1644"/>
      <c r="T928" s="117" t="s">
        <v>1053</v>
      </c>
      <c r="U928" s="91"/>
      <c r="V928" s="91"/>
      <c r="W928" s="91"/>
      <c r="X928" s="91"/>
      <c r="Y928" s="91"/>
      <c r="Z928" s="92"/>
      <c r="AA928" s="2020"/>
      <c r="AB928" s="2021"/>
      <c r="AC928" s="2021"/>
      <c r="AD928" s="2021"/>
      <c r="AE928" s="2021"/>
      <c r="AF928" s="2021"/>
      <c r="AG928" s="1644"/>
      <c r="AL928" s="119"/>
      <c r="AM928" s="75"/>
      <c r="AN928" s="75"/>
      <c r="AO928" s="75"/>
      <c r="AP928" s="75"/>
      <c r="AQ928" s="75"/>
      <c r="AR928" s="75"/>
      <c r="AS928" s="75"/>
      <c r="AT928" s="75"/>
      <c r="AU928" s="75"/>
      <c r="AV928" s="75"/>
      <c r="AW928" s="66"/>
      <c r="AX928" s="66"/>
      <c r="AY928" s="2028">
        <f>SUM(AY917:AZ921)+AY925</f>
        <v>0</v>
      </c>
      <c r="AZ928" s="2029"/>
      <c r="BA928" s="1981">
        <v>0.39</v>
      </c>
      <c r="BB928" s="198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811" t="s">
        <v>136</v>
      </c>
      <c r="N929" s="1705"/>
      <c r="O929" s="1705"/>
      <c r="P929" s="1705"/>
      <c r="Q929" s="1705"/>
      <c r="R929" s="1705"/>
      <c r="S929" s="1795"/>
      <c r="T929" s="90" t="s">
        <v>626</v>
      </c>
      <c r="U929" s="91"/>
      <c r="V929" s="91"/>
      <c r="W929" s="91"/>
      <c r="X929" s="91"/>
      <c r="Y929" s="91"/>
      <c r="Z929" s="92"/>
      <c r="AA929" s="2020"/>
      <c r="AB929" s="2021"/>
      <c r="AC929" s="2021"/>
      <c r="AD929" s="2021"/>
      <c r="AE929" s="2021"/>
      <c r="AF929" s="2021"/>
      <c r="AG929" s="164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020"/>
      <c r="N930" s="2021"/>
      <c r="O930" s="2021"/>
      <c r="P930" s="2021"/>
      <c r="Q930" s="2021"/>
      <c r="R930" s="2021"/>
      <c r="S930" s="1644"/>
      <c r="T930" s="90" t="s">
        <v>627</v>
      </c>
      <c r="U930" s="91"/>
      <c r="V930" s="91"/>
      <c r="W930" s="91"/>
      <c r="X930" s="91"/>
      <c r="Y930" s="91"/>
      <c r="Z930" s="92"/>
      <c r="AA930" s="2020"/>
      <c r="AB930" s="2021"/>
      <c r="AC930" s="2021"/>
      <c r="AD930" s="2021"/>
      <c r="AE930" s="2021"/>
      <c r="AF930" s="2021"/>
      <c r="AG930" s="1644"/>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020"/>
      <c r="N931" s="2021"/>
      <c r="O931" s="2021"/>
      <c r="P931" s="2021"/>
      <c r="Q931" s="2021"/>
      <c r="R931" s="2021"/>
      <c r="S931" s="1644"/>
      <c r="T931" s="90" t="s">
        <v>542</v>
      </c>
      <c r="U931" s="91"/>
      <c r="V931" s="91"/>
      <c r="W931" s="91"/>
      <c r="X931" s="91"/>
      <c r="Y931" s="91"/>
      <c r="Z931" s="92"/>
      <c r="AA931" s="2020"/>
      <c r="AB931" s="2021"/>
      <c r="AC931" s="2021"/>
      <c r="AD931" s="2021"/>
      <c r="AE931" s="2021"/>
      <c r="AF931" s="2021"/>
      <c r="AG931" s="164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022" t="s">
        <v>86</v>
      </c>
      <c r="N932" s="2023"/>
      <c r="O932" s="2023"/>
      <c r="P932" s="2023"/>
      <c r="Q932" s="2023"/>
      <c r="R932" s="2023"/>
      <c r="S932" s="2024"/>
      <c r="T932" s="2069"/>
      <c r="U932" s="2070"/>
      <c r="V932" s="2070"/>
      <c r="W932" s="2070"/>
      <c r="X932" s="2070"/>
      <c r="Y932" s="2070"/>
      <c r="Z932" s="2071"/>
      <c r="AA932" s="2020"/>
      <c r="AB932" s="2021"/>
      <c r="AC932" s="2021"/>
      <c r="AD932" s="2021"/>
      <c r="AE932" s="2021"/>
      <c r="AF932" s="2021"/>
      <c r="AG932" s="164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020"/>
      <c r="N933" s="2021"/>
      <c r="O933" s="2021"/>
      <c r="P933" s="2021"/>
      <c r="Q933" s="2021"/>
      <c r="R933" s="2021"/>
      <c r="S933" s="1644"/>
      <c r="T933" s="2069"/>
      <c r="U933" s="2070"/>
      <c r="V933" s="2070"/>
      <c r="W933" s="2070"/>
      <c r="X933" s="2070"/>
      <c r="Y933" s="2070"/>
      <c r="Z933" s="2071"/>
      <c r="AA933" s="2020"/>
      <c r="AB933" s="2021"/>
      <c r="AC933" s="2021"/>
      <c r="AD933" s="2021"/>
      <c r="AE933" s="2021"/>
      <c r="AF933" s="2021"/>
      <c r="AG933" s="164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811" t="s">
        <v>531</v>
      </c>
      <c r="P934" s="1795"/>
      <c r="Q934" s="228"/>
      <c r="R934" s="228"/>
      <c r="S934" s="229"/>
      <c r="T934" s="85" t="s">
        <v>311</v>
      </c>
      <c r="U934" s="86"/>
      <c r="V934" s="86"/>
      <c r="W934" s="1900" t="s">
        <v>622</v>
      </c>
      <c r="X934" s="1882"/>
      <c r="Y934" s="1882"/>
      <c r="Z934" s="1882"/>
      <c r="AA934" s="1882"/>
      <c r="AB934" s="1882"/>
      <c r="AC934" s="1882"/>
      <c r="AD934" s="1882"/>
      <c r="AE934" s="1882"/>
      <c r="AF934" s="1882"/>
      <c r="AG934" s="188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666" t="s">
        <v>252</v>
      </c>
      <c r="G935" s="1667"/>
      <c r="H935" s="1667"/>
      <c r="I935" s="1667"/>
      <c r="J935" s="1667"/>
      <c r="K935" s="1667"/>
      <c r="L935" s="1667"/>
      <c r="M935" s="2020"/>
      <c r="N935" s="2021"/>
      <c r="O935" s="2021"/>
      <c r="P935" s="2021"/>
      <c r="Q935" s="2021"/>
      <c r="R935" s="2021"/>
      <c r="S935" s="1644"/>
      <c r="T935" s="93"/>
      <c r="U935" s="94"/>
      <c r="V935" s="94"/>
      <c r="W935" s="94"/>
      <c r="X935" s="94"/>
      <c r="Y935" s="94"/>
      <c r="Z935" s="351" t="s">
        <v>253</v>
      </c>
      <c r="AA935" s="2077"/>
      <c r="AB935" s="2078"/>
      <c r="AC935" s="2078"/>
      <c r="AD935" s="2078"/>
      <c r="AE935" s="2078"/>
      <c r="AF935" s="2078"/>
      <c r="AG935" s="207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701" t="s">
        <v>141</v>
      </c>
      <c r="B939" s="1701"/>
      <c r="C939" s="1701"/>
      <c r="D939" s="1701"/>
      <c r="E939" s="1701"/>
      <c r="F939" s="1701"/>
      <c r="G939" s="1701"/>
      <c r="H939" s="1701"/>
      <c r="I939" s="1701"/>
      <c r="J939" s="1701"/>
      <c r="K939" s="1701"/>
      <c r="L939" s="1701"/>
      <c r="M939" s="1701"/>
      <c r="N939" s="1701"/>
      <c r="O939" s="1701"/>
      <c r="P939" s="1701"/>
      <c r="Q939" s="1701"/>
      <c r="R939" s="1701"/>
      <c r="S939" s="1701"/>
      <c r="T939" s="1701"/>
      <c r="U939" s="1701"/>
      <c r="V939" s="1701"/>
      <c r="W939" s="1701"/>
      <c r="X939" s="1701"/>
      <c r="Y939" s="1701"/>
      <c r="Z939" s="1701"/>
      <c r="AA939" s="1701"/>
      <c r="AB939" s="1701"/>
      <c r="AC939" s="1701"/>
      <c r="AD939" s="1701"/>
      <c r="AE939" s="1701"/>
      <c r="AF939" s="1701"/>
      <c r="AG939" s="1701"/>
      <c r="AH939" s="1701"/>
      <c r="AI939" s="1701"/>
      <c r="AJ939" s="1701"/>
      <c r="AK939" s="1701"/>
      <c r="AL939" s="170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701"/>
      <c r="B940" s="1701"/>
      <c r="C940" s="1701"/>
      <c r="D940" s="1701"/>
      <c r="E940" s="1701"/>
      <c r="F940" s="1701"/>
      <c r="G940" s="1701"/>
      <c r="H940" s="1701"/>
      <c r="I940" s="1701"/>
      <c r="J940" s="1701"/>
      <c r="K940" s="1701"/>
      <c r="L940" s="1701"/>
      <c r="M940" s="1701"/>
      <c r="N940" s="1701"/>
      <c r="O940" s="1701"/>
      <c r="P940" s="1701"/>
      <c r="Q940" s="1701"/>
      <c r="R940" s="1701"/>
      <c r="S940" s="1701"/>
      <c r="T940" s="1701"/>
      <c r="U940" s="1701"/>
      <c r="V940" s="1701"/>
      <c r="W940" s="1701"/>
      <c r="X940" s="1701"/>
      <c r="Y940" s="1701"/>
      <c r="Z940" s="1701"/>
      <c r="AA940" s="1701"/>
      <c r="AB940" s="1701"/>
      <c r="AC940" s="1701"/>
      <c r="AD940" s="1701"/>
      <c r="AE940" s="1701"/>
      <c r="AF940" s="1701"/>
      <c r="AG940" s="1701"/>
      <c r="AH940" s="1701"/>
      <c r="AI940" s="1701"/>
      <c r="AJ940" s="1701"/>
      <c r="AK940" s="1701"/>
      <c r="AL940" s="170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0"/>
      <c r="D944" s="1641" t="s">
        <v>473</v>
      </c>
      <c r="E944" s="1642"/>
      <c r="F944" s="1642"/>
      <c r="G944" s="1642"/>
      <c r="H944" s="1642"/>
      <c r="I944" s="1642"/>
      <c r="J944" s="1642"/>
      <c r="K944" s="1642"/>
      <c r="L944" s="1642"/>
      <c r="M944" s="1642"/>
      <c r="N944" s="1642"/>
      <c r="O944" s="1642"/>
      <c r="P944" s="1642"/>
      <c r="Q944" s="1643"/>
      <c r="R944" s="1641" t="s">
        <v>474</v>
      </c>
      <c r="S944" s="1642"/>
      <c r="T944" s="1642"/>
      <c r="U944" s="1642"/>
      <c r="V944" s="1642"/>
      <c r="W944" s="1642"/>
      <c r="X944" s="1642"/>
      <c r="Y944" s="1642"/>
      <c r="Z944" s="1642"/>
      <c r="AA944" s="1643"/>
      <c r="AB944" s="1641" t="s">
        <v>475</v>
      </c>
      <c r="AC944" s="1642"/>
      <c r="AD944" s="1642"/>
      <c r="AE944" s="1642"/>
      <c r="AF944" s="1642"/>
      <c r="AG944" s="1642"/>
      <c r="AH944" s="1642"/>
      <c r="AI944" s="1643"/>
      <c r="AJ944" s="1641" t="s">
        <v>476</v>
      </c>
      <c r="AK944" s="1642"/>
      <c r="AL944" s="1642"/>
      <c r="AM944" s="1642"/>
      <c r="AN944" s="1642"/>
      <c r="AO944" s="1642"/>
      <c r="AP944" s="1642"/>
      <c r="AQ944" s="1643"/>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1"/>
      <c r="D945" s="1628" t="s">
        <v>468</v>
      </c>
      <c r="E945" s="1629"/>
      <c r="F945" s="1629"/>
      <c r="G945" s="1629"/>
      <c r="H945" s="1629"/>
      <c r="I945" s="1629"/>
      <c r="J945" s="1629"/>
      <c r="K945" s="1629"/>
      <c r="L945" s="1629"/>
      <c r="M945" s="1629"/>
      <c r="N945" s="1629"/>
      <c r="O945" s="1629"/>
      <c r="P945" s="1629"/>
      <c r="Q945" s="1630"/>
      <c r="R945" s="1631">
        <f>IF(ISNA(IF($BA$817="4%",(INDEX($BC$831:$BG$888,MATCH($BO$817,$BB$831:$BB$888,0),MATCH(D945,$BC$829:$BG$829,0))),(INDEX($BJ$831:$BN$888,MATCH($BO$817,$BI$831:$BI$888,0),MATCH(D945,$BJ$829:$BN$829,0))))),0,IF($BA$817="4%",(INDEX($BC$831:$BG$888,MATCH($BO$817,$BB$831:$BB$888,0),MATCH(D945,$BC$829:$BG$829,0))),(INDEX($BJ$831:$BN$888,MATCH($BO$817,$BI$831:$BI$888,0),MATCH(D945,$BJ$829:$BN$829,0)))))</f>
        <v>327289</v>
      </c>
      <c r="S945" s="1631"/>
      <c r="T945" s="1631"/>
      <c r="U945" s="1631"/>
      <c r="V945" s="1631"/>
      <c r="W945" s="1631"/>
      <c r="X945" s="1631"/>
      <c r="Y945" s="1631"/>
      <c r="Z945" s="1631"/>
      <c r="AA945" s="1631"/>
      <c r="AB945" s="1602">
        <f>BN650</f>
        <v>0</v>
      </c>
      <c r="AC945" s="1603"/>
      <c r="AD945" s="1603"/>
      <c r="AE945" s="1603"/>
      <c r="AF945" s="1603"/>
      <c r="AG945" s="1603"/>
      <c r="AH945" s="1603"/>
      <c r="AI945" s="1604"/>
      <c r="AJ945" s="1605">
        <f>IF(ISERROR((R945*AB945)),0,(R945*AB945))</f>
        <v>0</v>
      </c>
      <c r="AK945" s="1606"/>
      <c r="AL945" s="1606"/>
      <c r="AM945" s="1606"/>
      <c r="AN945" s="1606"/>
      <c r="AO945" s="1606"/>
      <c r="AP945" s="1606"/>
      <c r="AQ945" s="1607"/>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2"/>
      <c r="D946" s="1628" t="s">
        <v>491</v>
      </c>
      <c r="E946" s="1629"/>
      <c r="F946" s="1629"/>
      <c r="G946" s="1629"/>
      <c r="H946" s="1629"/>
      <c r="I946" s="1629"/>
      <c r="J946" s="1629"/>
      <c r="K946" s="1629"/>
      <c r="L946" s="1629"/>
      <c r="M946" s="1629"/>
      <c r="N946" s="1629"/>
      <c r="O946" s="1629"/>
      <c r="P946" s="1629"/>
      <c r="Q946" s="1630"/>
      <c r="R946" s="1631">
        <f>IF(ISNA(IF($BA$817="4%",(INDEX($BC$831:$BG$888,MATCH($BO$817,$BB$831:$BB$888,0),MATCH(D946,$BC$829:$BG$829,0))),(INDEX($BJ$831:$BN$888,MATCH($BO$817,$BI$831:$BI$888,0),MATCH(D946,$BJ$829:$BN$829,0))))),0,IF($BA$817="4%",(INDEX($BC$831:$BG$888,MATCH($BO$817,$BB$831:$BB$888,0),MATCH(D946,$BC$829:$BG$829,0))),(INDEX($BJ$831:$BN$888,MATCH($BO$817,$BI$831:$BI$888,0),MATCH(D946,$BJ$829:$BN$829,0)))))</f>
        <v>377361</v>
      </c>
      <c r="S946" s="1631"/>
      <c r="T946" s="1631"/>
      <c r="U946" s="1631"/>
      <c r="V946" s="1631"/>
      <c r="W946" s="1631"/>
      <c r="X946" s="1631"/>
      <c r="Y946" s="1631"/>
      <c r="Z946" s="1631"/>
      <c r="AA946" s="1631"/>
      <c r="AB946" s="1602">
        <f>BS650</f>
        <v>27</v>
      </c>
      <c r="AC946" s="1603"/>
      <c r="AD946" s="1603"/>
      <c r="AE946" s="1603"/>
      <c r="AF946" s="1603"/>
      <c r="AG946" s="1603"/>
      <c r="AH946" s="1603"/>
      <c r="AI946" s="1604"/>
      <c r="AJ946" s="1605">
        <f>IF(ISERROR((R946*AB946)),0,(R946*AB946))</f>
        <v>10188747</v>
      </c>
      <c r="AK946" s="1606"/>
      <c r="AL946" s="1606"/>
      <c r="AM946" s="1606"/>
      <c r="AN946" s="1606"/>
      <c r="AO946" s="1606"/>
      <c r="AP946" s="1606"/>
      <c r="AQ946" s="1607"/>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2"/>
      <c r="D947" s="1628" t="s">
        <v>853</v>
      </c>
      <c r="E947" s="1629"/>
      <c r="F947" s="1629"/>
      <c r="G947" s="1629"/>
      <c r="H947" s="1629"/>
      <c r="I947" s="1629"/>
      <c r="J947" s="1629"/>
      <c r="K947" s="1629"/>
      <c r="L947" s="1629"/>
      <c r="M947" s="1629"/>
      <c r="N947" s="1629"/>
      <c r="O947" s="1629"/>
      <c r="P947" s="1629"/>
      <c r="Q947" s="1630"/>
      <c r="R947" s="1631">
        <f>IF(ISNA(IF($BA$817="4%",(INDEX($BC$831:$BG$888,MATCH($BO$817,$BB$831:$BB$888,0),MATCH(D947,$BC$829:$BG$829,0))),(INDEX($BJ$831:$BN$888,MATCH($BO$817,$BI$831:$BI$888,0),MATCH(D947,$BJ$829:$BN$829,0))))),0,IF($BA$817="4%",(INDEX($BC$831:$BG$888,MATCH($BO$817,$BB$831:$BB$888,0),MATCH(D947,$BC$829:$BG$829,0))),(INDEX($BJ$831:$BN$888,MATCH($BO$817,$BI$831:$BI$888,0),MATCH(D947,$BJ$829:$BN$829,0)))))</f>
        <v>455200</v>
      </c>
      <c r="S947" s="1631"/>
      <c r="T947" s="1631"/>
      <c r="U947" s="1631"/>
      <c r="V947" s="1631"/>
      <c r="W947" s="1631"/>
      <c r="X947" s="1631"/>
      <c r="Y947" s="1631"/>
      <c r="Z947" s="1631"/>
      <c r="AA947" s="1631"/>
      <c r="AB947" s="1602">
        <f>BX650</f>
        <v>16</v>
      </c>
      <c r="AC947" s="1603"/>
      <c r="AD947" s="1603"/>
      <c r="AE947" s="1603"/>
      <c r="AF947" s="1603"/>
      <c r="AG947" s="1603"/>
      <c r="AH947" s="1603"/>
      <c r="AI947" s="1604"/>
      <c r="AJ947" s="1605">
        <f>IF(ISERROR((R947*AB947)),0,(R947*AB947))</f>
        <v>7283200</v>
      </c>
      <c r="AK947" s="1606"/>
      <c r="AL947" s="1606"/>
      <c r="AM947" s="1606"/>
      <c r="AN947" s="1606"/>
      <c r="AO947" s="1606"/>
      <c r="AP947" s="1606"/>
      <c r="AQ947" s="1607"/>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2"/>
      <c r="D948" s="1628" t="s">
        <v>854</v>
      </c>
      <c r="E948" s="1629"/>
      <c r="F948" s="1629"/>
      <c r="G948" s="1629"/>
      <c r="H948" s="1629"/>
      <c r="I948" s="1629"/>
      <c r="J948" s="1629"/>
      <c r="K948" s="1629"/>
      <c r="L948" s="1629"/>
      <c r="M948" s="1629"/>
      <c r="N948" s="1629"/>
      <c r="O948" s="1629"/>
      <c r="P948" s="1629"/>
      <c r="Q948" s="1630"/>
      <c r="R948" s="1631">
        <f>IF(ISNA(IF($BA$817="4%",(INDEX($BC$831:$BG$888,MATCH($BO$817,$BB$831:$BB$888,0),MATCH(D948,$BC$829:$BG$829,0))),(INDEX($BJ$831:$BN$888,MATCH($BO$817,$BI$831:$BI$888,0),MATCH(D948,$BJ$829:$BN$829,0))))),0,IF($BA$817="4%",(INDEX($BC$831:$BG$888,MATCH($BO$817,$BB$831:$BB$888,0),MATCH(D948,$BC$829:$BG$829,0))),(INDEX($BJ$831:$BN$888,MATCH($BO$817,$BI$831:$BI$888,0),MATCH(D948,$BJ$829:$BN$829,0)))))</f>
        <v>582656</v>
      </c>
      <c r="S948" s="1631"/>
      <c r="T948" s="1631"/>
      <c r="U948" s="1631"/>
      <c r="V948" s="1631"/>
      <c r="W948" s="1631"/>
      <c r="X948" s="1631"/>
      <c r="Y948" s="1631"/>
      <c r="Z948" s="1631"/>
      <c r="AA948" s="1631"/>
      <c r="AB948" s="1602">
        <f>CC650</f>
        <v>20</v>
      </c>
      <c r="AC948" s="1603"/>
      <c r="AD948" s="1603"/>
      <c r="AE948" s="1603"/>
      <c r="AF948" s="1603"/>
      <c r="AG948" s="1603"/>
      <c r="AH948" s="1603"/>
      <c r="AI948" s="1604"/>
      <c r="AJ948" s="1605">
        <f>IF(ISERROR((R948*AB948)),0,(R948*AB948))</f>
        <v>11653120</v>
      </c>
      <c r="AK948" s="1606"/>
      <c r="AL948" s="1606"/>
      <c r="AM948" s="1606"/>
      <c r="AN948" s="1606"/>
      <c r="AO948" s="1606"/>
      <c r="AP948" s="1606"/>
      <c r="AQ948" s="1607"/>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3"/>
      <c r="D949" s="1628" t="s">
        <v>867</v>
      </c>
      <c r="E949" s="1629"/>
      <c r="F949" s="1629"/>
      <c r="G949" s="1629"/>
      <c r="H949" s="1629"/>
      <c r="I949" s="1629"/>
      <c r="J949" s="1629"/>
      <c r="K949" s="1629"/>
      <c r="L949" s="1629"/>
      <c r="M949" s="1629"/>
      <c r="N949" s="1629"/>
      <c r="O949" s="1629"/>
      <c r="P949" s="1629"/>
      <c r="Q949" s="1630"/>
      <c r="R949" s="1631">
        <f>IF(ISNA(IF($BA$817="4%",(INDEX($BC$831:$BG$888,MATCH($BO$817,$BB$831:$BB$888,0),MATCH(D949,$BC$829:$BG$829,0))),(INDEX($BJ$831:$BN$888,MATCH($BO$817,$BI$831:$BI$888,0),MATCH(D949,$BJ$829:$BN$829,0))))),0,IF($BA$817="4%",(INDEX($BC$831:$BG$888,MATCH($BO$817,$BB$831:$BB$888,0),MATCH(D949,$BC$829:$BG$829,0))),(INDEX($BJ$831:$BN$888,MATCH($BO$817,$BI$831:$BI$888,0),MATCH(D949,$BJ$829:$BN$829,0)))))</f>
        <v>649115</v>
      </c>
      <c r="S949" s="1631"/>
      <c r="T949" s="1631"/>
      <c r="U949" s="1631"/>
      <c r="V949" s="1631"/>
      <c r="W949" s="1631"/>
      <c r="X949" s="1631"/>
      <c r="Y949" s="1631"/>
      <c r="Z949" s="1631"/>
      <c r="AA949" s="1631"/>
      <c r="AB949" s="1602">
        <f>CM650+CH650</f>
        <v>0</v>
      </c>
      <c r="AC949" s="1603"/>
      <c r="AD949" s="1603"/>
      <c r="AE949" s="1603"/>
      <c r="AF949" s="1603"/>
      <c r="AG949" s="1603"/>
      <c r="AH949" s="1603"/>
      <c r="AI949" s="1604"/>
      <c r="AJ949" s="1605">
        <f>IF(ISERROR((R949*AB949)),0,(R949*AB949))</f>
        <v>0</v>
      </c>
      <c r="AK949" s="1606"/>
      <c r="AL949" s="1606"/>
      <c r="AM949" s="1606"/>
      <c r="AN949" s="1606"/>
      <c r="AO949" s="1606"/>
      <c r="AP949" s="1606"/>
      <c r="AQ949" s="1607"/>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599" t="s">
        <v>1064</v>
      </c>
      <c r="C950" s="1600"/>
      <c r="D950" s="1600"/>
      <c r="E950" s="1600"/>
      <c r="F950" s="1600"/>
      <c r="G950" s="1600"/>
      <c r="H950" s="1600"/>
      <c r="I950" s="1600"/>
      <c r="J950" s="1600"/>
      <c r="K950" s="1600"/>
      <c r="L950" s="1600"/>
      <c r="M950" s="1600"/>
      <c r="N950" s="1600"/>
      <c r="O950" s="1600"/>
      <c r="P950" s="1600"/>
      <c r="Q950" s="1600"/>
      <c r="R950" s="1600"/>
      <c r="S950" s="1600"/>
      <c r="T950" s="1600"/>
      <c r="U950" s="1600"/>
      <c r="V950" s="1600"/>
      <c r="W950" s="1600"/>
      <c r="X950" s="1600"/>
      <c r="Y950" s="1600"/>
      <c r="Z950" s="1600"/>
      <c r="AA950" s="1601"/>
      <c r="AB950" s="1602">
        <f>SUM(AB945:AI949)</f>
        <v>63</v>
      </c>
      <c r="AC950" s="1603"/>
      <c r="AD950" s="1603"/>
      <c r="AE950" s="1603"/>
      <c r="AF950" s="1603"/>
      <c r="AG950" s="1603"/>
      <c r="AH950" s="1603"/>
      <c r="AI950" s="1604"/>
      <c r="AJ950" s="1605"/>
      <c r="AK950" s="1606"/>
      <c r="AL950" s="1606"/>
      <c r="AM950" s="1606"/>
      <c r="AN950" s="1606"/>
      <c r="AO950" s="1606"/>
      <c r="AP950" s="1606"/>
      <c r="AQ950" s="1607"/>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608" t="s">
        <v>819</v>
      </c>
      <c r="C951" s="1609"/>
      <c r="D951" s="1609"/>
      <c r="E951" s="1609"/>
      <c r="F951" s="1609"/>
      <c r="G951" s="1609"/>
      <c r="H951" s="1609"/>
      <c r="I951" s="1609"/>
      <c r="J951" s="1609"/>
      <c r="K951" s="1609"/>
      <c r="L951" s="1609"/>
      <c r="M951" s="1609"/>
      <c r="N951" s="1609"/>
      <c r="O951" s="1609"/>
      <c r="P951" s="1609"/>
      <c r="Q951" s="1609"/>
      <c r="R951" s="1609"/>
      <c r="S951" s="1609"/>
      <c r="T951" s="1609"/>
      <c r="U951" s="1609"/>
      <c r="V951" s="1609"/>
      <c r="W951" s="1609"/>
      <c r="X951" s="1609"/>
      <c r="Y951" s="1609"/>
      <c r="Z951" s="1609"/>
      <c r="AA951" s="1609"/>
      <c r="AB951" s="1609"/>
      <c r="AC951" s="1609"/>
      <c r="AD951" s="1609"/>
      <c r="AE951" s="1609"/>
      <c r="AF951" s="1609"/>
      <c r="AG951" s="1609"/>
      <c r="AH951" s="1609"/>
      <c r="AI951" s="1610"/>
      <c r="AJ951" s="1605">
        <f>SUM(AJ945:AQ949)</f>
        <v>29125067</v>
      </c>
      <c r="AK951" s="1606"/>
      <c r="AL951" s="1606"/>
      <c r="AM951" s="1606"/>
      <c r="AN951" s="1606"/>
      <c r="AO951" s="1606"/>
      <c r="AP951" s="1606"/>
      <c r="AQ951" s="1607"/>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611"/>
      <c r="C952" s="1612"/>
      <c r="D952" s="1612"/>
      <c r="E952" s="1612"/>
      <c r="F952" s="1612"/>
      <c r="G952" s="1612"/>
      <c r="H952" s="1612"/>
      <c r="I952" s="1612"/>
      <c r="J952" s="1612"/>
      <c r="K952" s="1612"/>
      <c r="L952" s="1612"/>
      <c r="M952" s="1612"/>
      <c r="N952" s="1612"/>
      <c r="O952" s="1612"/>
      <c r="P952" s="1612"/>
      <c r="Q952" s="1612"/>
      <c r="R952" s="1612"/>
      <c r="S952" s="1612"/>
      <c r="T952" s="1612"/>
      <c r="U952" s="1612"/>
      <c r="V952" s="1612"/>
      <c r="W952" s="1612"/>
      <c r="X952" s="1612"/>
      <c r="Y952" s="1612"/>
      <c r="Z952" s="1612"/>
      <c r="AA952" s="1612"/>
      <c r="AB952" s="1612"/>
      <c r="AC952" s="1612"/>
      <c r="AD952" s="1612"/>
      <c r="AE952" s="1613"/>
      <c r="AF952" s="1614" t="s">
        <v>528</v>
      </c>
      <c r="AG952" s="1615"/>
      <c r="AH952" s="1615"/>
      <c r="AI952" s="1616"/>
      <c r="AJ952" s="1611"/>
      <c r="AK952" s="1612"/>
      <c r="AL952" s="1612"/>
      <c r="AM952" s="1612"/>
      <c r="AN952" s="1612"/>
      <c r="AO952" s="1612"/>
      <c r="AP952" s="1612"/>
      <c r="AQ952" s="1613"/>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4" t="s">
        <v>530</v>
      </c>
      <c r="D953" s="1560" t="s">
        <v>2163</v>
      </c>
      <c r="E953" s="1561"/>
      <c r="F953" s="1561"/>
      <c r="G953" s="1561"/>
      <c r="H953" s="1561"/>
      <c r="I953" s="1561"/>
      <c r="J953" s="1561"/>
      <c r="K953" s="1561"/>
      <c r="L953" s="1561"/>
      <c r="M953" s="1561"/>
      <c r="N953" s="1561"/>
      <c r="O953" s="1561"/>
      <c r="P953" s="1561"/>
      <c r="Q953" s="1561"/>
      <c r="R953" s="1561"/>
      <c r="S953" s="1561"/>
      <c r="T953" s="1561"/>
      <c r="U953" s="1561"/>
      <c r="V953" s="1561"/>
      <c r="W953" s="1561"/>
      <c r="X953" s="1561"/>
      <c r="Y953" s="1561"/>
      <c r="Z953" s="1561"/>
      <c r="AA953" s="1561"/>
      <c r="AB953" s="1561"/>
      <c r="AC953" s="1561"/>
      <c r="AD953" s="1561"/>
      <c r="AE953" s="1562"/>
      <c r="AF953" s="128"/>
      <c r="AG953" s="1617" t="s">
        <v>119</v>
      </c>
      <c r="AH953" s="1618"/>
      <c r="AI953" s="131"/>
      <c r="AJ953" s="1563">
        <f>ROUND(IF(AND(AG953="yes",D955&gt;0),AJ951*0.2,0),0)</f>
        <v>5825013</v>
      </c>
      <c r="AK953" s="1564"/>
      <c r="AL953" s="1564"/>
      <c r="AM953" s="1564"/>
      <c r="AN953" s="1564"/>
      <c r="AO953" s="1564"/>
      <c r="AP953" s="1564"/>
      <c r="AQ953" s="156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5"/>
      <c r="C954" s="1466"/>
      <c r="D954" s="1619" t="s">
        <v>2301</v>
      </c>
      <c r="E954" s="1620"/>
      <c r="F954" s="1620"/>
      <c r="G954" s="1620"/>
      <c r="H954" s="1620"/>
      <c r="I954" s="1620"/>
      <c r="J954" s="1620"/>
      <c r="K954" s="1620"/>
      <c r="L954" s="1620"/>
      <c r="M954" s="1620"/>
      <c r="N954" s="1620"/>
      <c r="O954" s="1620"/>
      <c r="P954" s="1620"/>
      <c r="Q954" s="1620"/>
      <c r="R954" s="1620"/>
      <c r="S954" s="1620"/>
      <c r="T954" s="1620"/>
      <c r="U954" s="1620"/>
      <c r="V954" s="1620"/>
      <c r="W954" s="1620"/>
      <c r="X954" s="1620"/>
      <c r="Y954" s="1620"/>
      <c r="Z954" s="1620"/>
      <c r="AA954" s="1620"/>
      <c r="AB954" s="1620"/>
      <c r="AC954" s="1620"/>
      <c r="AD954" s="1620"/>
      <c r="AE954" s="1621"/>
      <c r="AF954" s="124"/>
      <c r="AG954" s="125"/>
      <c r="AH954" s="125"/>
      <c r="AI954" s="129"/>
      <c r="AJ954" s="1566"/>
      <c r="AK954" s="1567"/>
      <c r="AL954" s="1567"/>
      <c r="AM954" s="1567"/>
      <c r="AN954" s="1567"/>
      <c r="AO954" s="1567"/>
      <c r="AP954" s="1567"/>
      <c r="AQ954" s="156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5"/>
      <c r="C955" s="1466"/>
      <c r="D955" s="1622" t="s">
        <v>2494</v>
      </c>
      <c r="E955" s="1623"/>
      <c r="F955" s="1623"/>
      <c r="G955" s="1623"/>
      <c r="H955" s="1623"/>
      <c r="I955" s="1623"/>
      <c r="J955" s="1623"/>
      <c r="K955" s="1623"/>
      <c r="L955" s="1623"/>
      <c r="M955" s="1623"/>
      <c r="N955" s="1623"/>
      <c r="O955" s="1623"/>
      <c r="P955" s="1623"/>
      <c r="Q955" s="1623"/>
      <c r="R955" s="1623"/>
      <c r="S955" s="1623"/>
      <c r="T955" s="1623"/>
      <c r="U955" s="1623"/>
      <c r="V955" s="1623"/>
      <c r="W955" s="1623"/>
      <c r="X955" s="1623"/>
      <c r="Y955" s="1623"/>
      <c r="Z955" s="1623"/>
      <c r="AA955" s="1623"/>
      <c r="AB955" s="1623"/>
      <c r="AC955" s="1623"/>
      <c r="AD955" s="1623"/>
      <c r="AE955" s="1624"/>
      <c r="AF955" s="126"/>
      <c r="AG955" s="15"/>
      <c r="AH955" s="15"/>
      <c r="AI955" s="127"/>
      <c r="AJ955" s="1569"/>
      <c r="AK955" s="1570"/>
      <c r="AL955" s="1570"/>
      <c r="AM955" s="1570"/>
      <c r="AN955" s="1570"/>
      <c r="AO955" s="1570"/>
      <c r="AP955" s="1570"/>
      <c r="AQ955" s="157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7"/>
      <c r="C956" s="1468"/>
      <c r="D956" s="1534" t="s">
        <v>2302</v>
      </c>
      <c r="E956" s="1535"/>
      <c r="F956" s="1535"/>
      <c r="G956" s="1535"/>
      <c r="H956" s="1535"/>
      <c r="I956" s="1535"/>
      <c r="J956" s="1535"/>
      <c r="K956" s="1535"/>
      <c r="L956" s="1535"/>
      <c r="M956" s="1535"/>
      <c r="N956" s="1535"/>
      <c r="O956" s="1535"/>
      <c r="P956" s="1535"/>
      <c r="Q956" s="1535"/>
      <c r="R956" s="1535"/>
      <c r="S956" s="1535"/>
      <c r="T956" s="1535"/>
      <c r="U956" s="1535"/>
      <c r="V956" s="1535"/>
      <c r="W956" s="1535"/>
      <c r="X956" s="1535"/>
      <c r="Y956" s="1535"/>
      <c r="Z956" s="1535"/>
      <c r="AA956" s="1535"/>
      <c r="AB956" s="1535"/>
      <c r="AC956" s="1535"/>
      <c r="AD956" s="1535"/>
      <c r="AE956" s="1536"/>
      <c r="AF956" s="128"/>
      <c r="AG956" s="1537" t="s">
        <v>531</v>
      </c>
      <c r="AH956" s="1538"/>
      <c r="AI956" s="131"/>
      <c r="AJ956" s="1563">
        <f>ROUND(IF(AG956="yes",AJ951*0.05,0),0)</f>
        <v>0</v>
      </c>
      <c r="AK956" s="1564"/>
      <c r="AL956" s="1564"/>
      <c r="AM956" s="1564"/>
      <c r="AN956" s="1564"/>
      <c r="AO956" s="1564"/>
      <c r="AP956" s="1564"/>
      <c r="AQ956" s="156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5"/>
      <c r="C957" s="1469"/>
      <c r="D957" s="1619" t="s">
        <v>2164</v>
      </c>
      <c r="E957" s="1620"/>
      <c r="F957" s="1620"/>
      <c r="G957" s="1620"/>
      <c r="H957" s="1620"/>
      <c r="I957" s="1620"/>
      <c r="J957" s="1620"/>
      <c r="K957" s="1620"/>
      <c r="L957" s="1620"/>
      <c r="M957" s="1620"/>
      <c r="N957" s="1620"/>
      <c r="O957" s="1620"/>
      <c r="P957" s="1620"/>
      <c r="Q957" s="1620"/>
      <c r="R957" s="1620"/>
      <c r="S957" s="1620"/>
      <c r="T957" s="1620"/>
      <c r="U957" s="1620"/>
      <c r="V957" s="1620"/>
      <c r="W957" s="1620"/>
      <c r="X957" s="1620"/>
      <c r="Y957" s="1620"/>
      <c r="Z957" s="1620"/>
      <c r="AA957" s="1620"/>
      <c r="AB957" s="1620"/>
      <c r="AC957" s="1620"/>
      <c r="AD957" s="1620"/>
      <c r="AE957" s="1621"/>
      <c r="AF957" s="124"/>
      <c r="AG957" s="125"/>
      <c r="AH957" s="125"/>
      <c r="AI957" s="129"/>
      <c r="AJ957" s="1566"/>
      <c r="AK957" s="1567"/>
      <c r="AL957" s="1567"/>
      <c r="AM957" s="1567"/>
      <c r="AN957" s="1567"/>
      <c r="AO957" s="1567"/>
      <c r="AP957" s="1567"/>
      <c r="AQ957" s="156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5"/>
      <c r="C958" s="1469"/>
      <c r="D958" s="1619"/>
      <c r="E958" s="1620"/>
      <c r="F958" s="1620"/>
      <c r="G958" s="1620"/>
      <c r="H958" s="1620"/>
      <c r="I958" s="1620"/>
      <c r="J958" s="1620"/>
      <c r="K958" s="1620"/>
      <c r="L958" s="1620"/>
      <c r="M958" s="1620"/>
      <c r="N958" s="1620"/>
      <c r="O958" s="1620"/>
      <c r="P958" s="1620"/>
      <c r="Q958" s="1620"/>
      <c r="R958" s="1620"/>
      <c r="S958" s="1620"/>
      <c r="T958" s="1620"/>
      <c r="U958" s="1620"/>
      <c r="V958" s="1620"/>
      <c r="W958" s="1620"/>
      <c r="X958" s="1620"/>
      <c r="Y958" s="1620"/>
      <c r="Z958" s="1620"/>
      <c r="AA958" s="1620"/>
      <c r="AB958" s="1620"/>
      <c r="AC958" s="1620"/>
      <c r="AD958" s="1620"/>
      <c r="AE958" s="1621"/>
      <c r="AF958" s="124"/>
      <c r="AG958" s="125"/>
      <c r="AH958" s="125"/>
      <c r="AI958" s="129"/>
      <c r="AJ958" s="1566"/>
      <c r="AK958" s="1567"/>
      <c r="AL958" s="1567"/>
      <c r="AM958" s="1567"/>
      <c r="AN958" s="1567"/>
      <c r="AO958" s="1567"/>
      <c r="AP958" s="1567"/>
      <c r="AQ958" s="156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5"/>
      <c r="C959" s="1469"/>
      <c r="D959" s="1619"/>
      <c r="E959" s="1620"/>
      <c r="F959" s="1620"/>
      <c r="G959" s="1620"/>
      <c r="H959" s="1620"/>
      <c r="I959" s="1620"/>
      <c r="J959" s="1620"/>
      <c r="K959" s="1620"/>
      <c r="L959" s="1620"/>
      <c r="M959" s="1620"/>
      <c r="N959" s="1620"/>
      <c r="O959" s="1620"/>
      <c r="P959" s="1620"/>
      <c r="Q959" s="1620"/>
      <c r="R959" s="1620"/>
      <c r="S959" s="1620"/>
      <c r="T959" s="1620"/>
      <c r="U959" s="1620"/>
      <c r="V959" s="1620"/>
      <c r="W959" s="1620"/>
      <c r="X959" s="1620"/>
      <c r="Y959" s="1620"/>
      <c r="Z959" s="1620"/>
      <c r="AA959" s="1620"/>
      <c r="AB959" s="1620"/>
      <c r="AC959" s="1620"/>
      <c r="AD959" s="1620"/>
      <c r="AE959" s="1621"/>
      <c r="AF959" s="124"/>
      <c r="AG959" s="125"/>
      <c r="AH959" s="125"/>
      <c r="AI959" s="129"/>
      <c r="AJ959" s="1566"/>
      <c r="AK959" s="1567"/>
      <c r="AL959" s="1567"/>
      <c r="AM959" s="1567"/>
      <c r="AN959" s="1567"/>
      <c r="AO959" s="1567"/>
      <c r="AP959" s="1567"/>
      <c r="AQ959" s="156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5"/>
      <c r="C960" s="1469"/>
      <c r="D960" s="1619"/>
      <c r="E960" s="1620"/>
      <c r="F960" s="1620"/>
      <c r="G960" s="1620"/>
      <c r="H960" s="1620"/>
      <c r="I960" s="1620"/>
      <c r="J960" s="1620"/>
      <c r="K960" s="1620"/>
      <c r="L960" s="1620"/>
      <c r="M960" s="1620"/>
      <c r="N960" s="1620"/>
      <c r="O960" s="1620"/>
      <c r="P960" s="1620"/>
      <c r="Q960" s="1620"/>
      <c r="R960" s="1620"/>
      <c r="S960" s="1620"/>
      <c r="T960" s="1620"/>
      <c r="U960" s="1620"/>
      <c r="V960" s="1620"/>
      <c r="W960" s="1620"/>
      <c r="X960" s="1620"/>
      <c r="Y960" s="1620"/>
      <c r="Z960" s="1620"/>
      <c r="AA960" s="1620"/>
      <c r="AB960" s="1620"/>
      <c r="AC960" s="1620"/>
      <c r="AD960" s="1620"/>
      <c r="AE960" s="1621"/>
      <c r="AF960" s="124"/>
      <c r="AG960" s="125"/>
      <c r="AH960" s="125"/>
      <c r="AI960" s="129"/>
      <c r="AJ960" s="1566"/>
      <c r="AK960" s="1567"/>
      <c r="AL960" s="1567"/>
      <c r="AM960" s="1567"/>
      <c r="AN960" s="1567"/>
      <c r="AO960" s="1567"/>
      <c r="AP960" s="1567"/>
      <c r="AQ960" s="156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0"/>
      <c r="C961" s="1471"/>
      <c r="D961" s="1625"/>
      <c r="E961" s="1626"/>
      <c r="F961" s="1626"/>
      <c r="G961" s="1626"/>
      <c r="H961" s="1626"/>
      <c r="I961" s="1626"/>
      <c r="J961" s="1626"/>
      <c r="K961" s="1626"/>
      <c r="L961" s="1626"/>
      <c r="M961" s="1626"/>
      <c r="N961" s="1626"/>
      <c r="O961" s="1626"/>
      <c r="P961" s="1626"/>
      <c r="Q961" s="1626"/>
      <c r="R961" s="1626"/>
      <c r="S961" s="1626"/>
      <c r="T961" s="1626"/>
      <c r="U961" s="1626"/>
      <c r="V961" s="1626"/>
      <c r="W961" s="1626"/>
      <c r="X961" s="1626"/>
      <c r="Y961" s="1626"/>
      <c r="Z961" s="1626"/>
      <c r="AA961" s="1626"/>
      <c r="AB961" s="1626"/>
      <c r="AC961" s="1626"/>
      <c r="AD961" s="1626"/>
      <c r="AE961" s="1627"/>
      <c r="AF961" s="126"/>
      <c r="AG961" s="15"/>
      <c r="AH961" s="15"/>
      <c r="AI961" s="127"/>
      <c r="AJ961" s="1569"/>
      <c r="AK961" s="1570"/>
      <c r="AL961" s="1570"/>
      <c r="AM961" s="1570"/>
      <c r="AN961" s="1570"/>
      <c r="AO961" s="1570"/>
      <c r="AP961" s="1570"/>
      <c r="AQ961" s="157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7"/>
      <c r="C962" s="884" t="s">
        <v>534</v>
      </c>
      <c r="D962" s="1534" t="s">
        <v>2303</v>
      </c>
      <c r="E962" s="1535"/>
      <c r="F962" s="1535"/>
      <c r="G962" s="1535"/>
      <c r="H962" s="1535"/>
      <c r="I962" s="1535"/>
      <c r="J962" s="1535"/>
      <c r="K962" s="1535"/>
      <c r="L962" s="1535"/>
      <c r="M962" s="1535"/>
      <c r="N962" s="1535"/>
      <c r="O962" s="1535"/>
      <c r="P962" s="1535"/>
      <c r="Q962" s="1535"/>
      <c r="R962" s="1535"/>
      <c r="S962" s="1535"/>
      <c r="T962" s="1535"/>
      <c r="U962" s="1535"/>
      <c r="V962" s="1535"/>
      <c r="W962" s="1535"/>
      <c r="X962" s="1535"/>
      <c r="Y962" s="1535"/>
      <c r="Z962" s="1535"/>
      <c r="AA962" s="1535"/>
      <c r="AB962" s="1535"/>
      <c r="AC962" s="1535"/>
      <c r="AD962" s="1535"/>
      <c r="AE962" s="1536"/>
      <c r="AF962" s="130"/>
      <c r="AG962" s="1537" t="s">
        <v>119</v>
      </c>
      <c r="AH962" s="1538"/>
      <c r="AI962" s="131"/>
      <c r="AJ962" s="1563">
        <f>ROUND(IF(AG962="yes",AJ951*0.1,0),0)</f>
        <v>2912507</v>
      </c>
      <c r="AK962" s="1564"/>
      <c r="AL962" s="1564"/>
      <c r="AM962" s="1564"/>
      <c r="AN962" s="1564"/>
      <c r="AO962" s="1564"/>
      <c r="AP962" s="1564"/>
      <c r="AQ962" s="156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548" t="s">
        <v>2304</v>
      </c>
      <c r="E963" s="1549"/>
      <c r="F963" s="1549"/>
      <c r="G963" s="1549"/>
      <c r="H963" s="1549"/>
      <c r="I963" s="1549"/>
      <c r="J963" s="1549"/>
      <c r="K963" s="1549"/>
      <c r="L963" s="1549"/>
      <c r="M963" s="1549"/>
      <c r="N963" s="1549"/>
      <c r="O963" s="1549"/>
      <c r="P963" s="1549"/>
      <c r="Q963" s="1549"/>
      <c r="R963" s="1549"/>
      <c r="S963" s="1549"/>
      <c r="T963" s="1549"/>
      <c r="U963" s="1549"/>
      <c r="V963" s="1549"/>
      <c r="W963" s="1549"/>
      <c r="X963" s="1549"/>
      <c r="Y963" s="1549"/>
      <c r="Z963" s="1549"/>
      <c r="AA963" s="1549"/>
      <c r="AB963" s="1549"/>
      <c r="AC963" s="1549"/>
      <c r="AD963" s="1549"/>
      <c r="AE963" s="1550"/>
      <c r="AF963" s="124"/>
      <c r="AG963" s="35"/>
      <c r="AH963" s="35"/>
      <c r="AI963" s="129"/>
      <c r="AJ963" s="1566"/>
      <c r="AK963" s="1567"/>
      <c r="AL963" s="1567"/>
      <c r="AM963" s="1567"/>
      <c r="AN963" s="1567"/>
      <c r="AO963" s="1567"/>
      <c r="AP963" s="1567"/>
      <c r="AQ963" s="156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548"/>
      <c r="E964" s="1549"/>
      <c r="F964" s="1549"/>
      <c r="G964" s="1549"/>
      <c r="H964" s="1549"/>
      <c r="I964" s="1549"/>
      <c r="J964" s="1549"/>
      <c r="K964" s="1549"/>
      <c r="L964" s="1549"/>
      <c r="M964" s="1549"/>
      <c r="N964" s="1549"/>
      <c r="O964" s="1549"/>
      <c r="P964" s="1549"/>
      <c r="Q964" s="1549"/>
      <c r="R964" s="1549"/>
      <c r="S964" s="1549"/>
      <c r="T964" s="1549"/>
      <c r="U964" s="1549"/>
      <c r="V964" s="1549"/>
      <c r="W964" s="1549"/>
      <c r="X964" s="1549"/>
      <c r="Y964" s="1549"/>
      <c r="Z964" s="1549"/>
      <c r="AA964" s="1549"/>
      <c r="AB964" s="1549"/>
      <c r="AC964" s="1549"/>
      <c r="AD964" s="1549"/>
      <c r="AE964" s="1550"/>
      <c r="AF964" s="124"/>
      <c r="AG964" s="125"/>
      <c r="AH964" s="125"/>
      <c r="AI964" s="129"/>
      <c r="AJ964" s="1566"/>
      <c r="AK964" s="1567"/>
      <c r="AL964" s="1567"/>
      <c r="AM964" s="1567"/>
      <c r="AN964" s="1567"/>
      <c r="AO964" s="1567"/>
      <c r="AP964" s="1567"/>
      <c r="AQ964" s="156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2"/>
      <c r="C965" s="1471"/>
      <c r="D965" s="1551"/>
      <c r="E965" s="1552"/>
      <c r="F965" s="1552"/>
      <c r="G965" s="1552"/>
      <c r="H965" s="1552"/>
      <c r="I965" s="1552"/>
      <c r="J965" s="1552"/>
      <c r="K965" s="1552"/>
      <c r="L965" s="1552"/>
      <c r="M965" s="1552"/>
      <c r="N965" s="1552"/>
      <c r="O965" s="1552"/>
      <c r="P965" s="1552"/>
      <c r="Q965" s="1552"/>
      <c r="R965" s="1552"/>
      <c r="S965" s="1552"/>
      <c r="T965" s="1552"/>
      <c r="U965" s="1552"/>
      <c r="V965" s="1552"/>
      <c r="W965" s="1552"/>
      <c r="X965" s="1552"/>
      <c r="Y965" s="1552"/>
      <c r="Z965" s="1552"/>
      <c r="AA965" s="1552"/>
      <c r="AB965" s="1552"/>
      <c r="AC965" s="1552"/>
      <c r="AD965" s="1552"/>
      <c r="AE965" s="1553"/>
      <c r="AF965" s="126"/>
      <c r="AG965" s="15"/>
      <c r="AH965" s="15"/>
      <c r="AI965" s="127"/>
      <c r="AJ965" s="1569"/>
      <c r="AK965" s="1570"/>
      <c r="AL965" s="1570"/>
      <c r="AM965" s="1570"/>
      <c r="AN965" s="1570"/>
      <c r="AO965" s="1570"/>
      <c r="AP965" s="1570"/>
      <c r="AQ965" s="157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534" t="s">
        <v>2165</v>
      </c>
      <c r="E966" s="1535"/>
      <c r="F966" s="1535"/>
      <c r="G966" s="1535"/>
      <c r="H966" s="1535"/>
      <c r="I966" s="1535"/>
      <c r="J966" s="1535"/>
      <c r="K966" s="1535"/>
      <c r="L966" s="1535"/>
      <c r="M966" s="1535"/>
      <c r="N966" s="1535"/>
      <c r="O966" s="1535"/>
      <c r="P966" s="1535"/>
      <c r="Q966" s="1535"/>
      <c r="R966" s="1535"/>
      <c r="S966" s="1535"/>
      <c r="T966" s="1535"/>
      <c r="U966" s="1535"/>
      <c r="V966" s="1535"/>
      <c r="W966" s="1535"/>
      <c r="X966" s="1535"/>
      <c r="Y966" s="1535"/>
      <c r="Z966" s="1535"/>
      <c r="AA966" s="1535"/>
      <c r="AB966" s="1535"/>
      <c r="AC966" s="1535"/>
      <c r="AD966" s="1535"/>
      <c r="AE966" s="1536"/>
      <c r="AF966" s="128"/>
      <c r="AG966" s="1537" t="s">
        <v>531</v>
      </c>
      <c r="AH966" s="1538"/>
      <c r="AI966" s="131"/>
      <c r="AJ966" s="1563">
        <f>ROUND(IF(AG966="yes",AJ951*0.02,0),0)</f>
        <v>0</v>
      </c>
      <c r="AK966" s="1564"/>
      <c r="AL966" s="1564"/>
      <c r="AM966" s="1564"/>
      <c r="AN966" s="1564"/>
      <c r="AO966" s="1564"/>
      <c r="AP966" s="1564"/>
      <c r="AQ966" s="156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551" t="s">
        <v>2166</v>
      </c>
      <c r="E967" s="1552"/>
      <c r="F967" s="1552"/>
      <c r="G967" s="1552"/>
      <c r="H967" s="1552"/>
      <c r="I967" s="1552"/>
      <c r="J967" s="1552"/>
      <c r="K967" s="1552"/>
      <c r="L967" s="1552"/>
      <c r="M967" s="1552"/>
      <c r="N967" s="1552"/>
      <c r="O967" s="1552"/>
      <c r="P967" s="1552"/>
      <c r="Q967" s="1552"/>
      <c r="R967" s="1552"/>
      <c r="S967" s="1552"/>
      <c r="T967" s="1552"/>
      <c r="U967" s="1552"/>
      <c r="V967" s="1552"/>
      <c r="W967" s="1552"/>
      <c r="X967" s="1552"/>
      <c r="Y967" s="1552"/>
      <c r="Z967" s="1552"/>
      <c r="AA967" s="1552"/>
      <c r="AB967" s="1552"/>
      <c r="AC967" s="1552"/>
      <c r="AD967" s="1552"/>
      <c r="AE967" s="1553"/>
      <c r="AF967" s="126"/>
      <c r="AG967" s="15"/>
      <c r="AH967" s="15"/>
      <c r="AI967" s="127"/>
      <c r="AJ967" s="1569"/>
      <c r="AK967" s="1570"/>
      <c r="AL967" s="1570"/>
      <c r="AM967" s="1570"/>
      <c r="AN967" s="1570"/>
      <c r="AO967" s="1570"/>
      <c r="AP967" s="1570"/>
      <c r="AQ967" s="157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534" t="s">
        <v>2167</v>
      </c>
      <c r="E968" s="1535"/>
      <c r="F968" s="1535"/>
      <c r="G968" s="1535"/>
      <c r="H968" s="1535"/>
      <c r="I968" s="1535"/>
      <c r="J968" s="1535"/>
      <c r="K968" s="1535"/>
      <c r="L968" s="1535"/>
      <c r="M968" s="1535"/>
      <c r="N968" s="1535"/>
      <c r="O968" s="1535"/>
      <c r="P968" s="1535"/>
      <c r="Q968" s="1535"/>
      <c r="R968" s="1535"/>
      <c r="S968" s="1535"/>
      <c r="T968" s="1535"/>
      <c r="U968" s="1535"/>
      <c r="V968" s="1535"/>
      <c r="W968" s="1535"/>
      <c r="X968" s="1535"/>
      <c r="Y968" s="1535"/>
      <c r="Z968" s="1535"/>
      <c r="AA968" s="1535"/>
      <c r="AB968" s="1535"/>
      <c r="AC968" s="1535"/>
      <c r="AD968" s="1535"/>
      <c r="AE968" s="1536"/>
      <c r="AF968" s="128"/>
      <c r="AG968" s="1537" t="s">
        <v>531</v>
      </c>
      <c r="AH968" s="1538"/>
      <c r="AI968" s="128"/>
      <c r="AJ968" s="1563">
        <f>ROUND(IF(AG968="yes",AJ951*0.02,0),0)</f>
        <v>0</v>
      </c>
      <c r="AK968" s="1564"/>
      <c r="AL968" s="1564"/>
      <c r="AM968" s="1564"/>
      <c r="AN968" s="1564"/>
      <c r="AO968" s="1564"/>
      <c r="AP968" s="1564"/>
      <c r="AQ968" s="156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548" t="s">
        <v>2168</v>
      </c>
      <c r="E969" s="1549"/>
      <c r="F969" s="1549"/>
      <c r="G969" s="1549"/>
      <c r="H969" s="1549"/>
      <c r="I969" s="1549"/>
      <c r="J969" s="1549"/>
      <c r="K969" s="1549"/>
      <c r="L969" s="1549"/>
      <c r="M969" s="1549"/>
      <c r="N969" s="1549"/>
      <c r="O969" s="1549"/>
      <c r="P969" s="1549"/>
      <c r="Q969" s="1549"/>
      <c r="R969" s="1549"/>
      <c r="S969" s="1549"/>
      <c r="T969" s="1549"/>
      <c r="U969" s="1549"/>
      <c r="V969" s="1549"/>
      <c r="W969" s="1549"/>
      <c r="X969" s="1549"/>
      <c r="Y969" s="1549"/>
      <c r="Z969" s="1549"/>
      <c r="AA969" s="1549"/>
      <c r="AB969" s="1549"/>
      <c r="AC969" s="1549"/>
      <c r="AD969" s="1549"/>
      <c r="AE969" s="1550"/>
      <c r="AF969" s="124"/>
      <c r="AG969" s="35"/>
      <c r="AH969" s="35"/>
      <c r="AI969" s="125"/>
      <c r="AJ969" s="1566"/>
      <c r="AK969" s="1567"/>
      <c r="AL969" s="1567"/>
      <c r="AM969" s="1567"/>
      <c r="AN969" s="1567"/>
      <c r="AO969" s="1567"/>
      <c r="AP969" s="1567"/>
      <c r="AQ969" s="156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0"/>
      <c r="C970" s="1471"/>
      <c r="D970" s="1551"/>
      <c r="E970" s="1552"/>
      <c r="F970" s="1552"/>
      <c r="G970" s="1552"/>
      <c r="H970" s="1552"/>
      <c r="I970" s="1552"/>
      <c r="J970" s="1552"/>
      <c r="K970" s="1552"/>
      <c r="L970" s="1552"/>
      <c r="M970" s="1552"/>
      <c r="N970" s="1552"/>
      <c r="O970" s="1552"/>
      <c r="P970" s="1552"/>
      <c r="Q970" s="1552"/>
      <c r="R970" s="1552"/>
      <c r="S970" s="1552"/>
      <c r="T970" s="1552"/>
      <c r="U970" s="1552"/>
      <c r="V970" s="1552"/>
      <c r="W970" s="1552"/>
      <c r="X970" s="1552"/>
      <c r="Y970" s="1552"/>
      <c r="Z970" s="1552"/>
      <c r="AA970" s="1552"/>
      <c r="AB970" s="1552"/>
      <c r="AC970" s="1552"/>
      <c r="AD970" s="1552"/>
      <c r="AE970" s="1553"/>
      <c r="AF970" s="126"/>
      <c r="AG970" s="15"/>
      <c r="AH970" s="15"/>
      <c r="AI970" s="127"/>
      <c r="AJ970" s="1569"/>
      <c r="AK970" s="1570"/>
      <c r="AL970" s="1570"/>
      <c r="AM970" s="1570"/>
      <c r="AN970" s="1570"/>
      <c r="AO970" s="1570"/>
      <c r="AP970" s="1570"/>
      <c r="AQ970" s="157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560" t="s">
        <v>2169</v>
      </c>
      <c r="E971" s="1561"/>
      <c r="F971" s="1561"/>
      <c r="G971" s="1561"/>
      <c r="H971" s="1561"/>
      <c r="I971" s="1561"/>
      <c r="J971" s="1561"/>
      <c r="K971" s="1561"/>
      <c r="L971" s="1561"/>
      <c r="M971" s="1561"/>
      <c r="N971" s="1561"/>
      <c r="O971" s="1561"/>
      <c r="P971" s="1561"/>
      <c r="Q971" s="1561"/>
      <c r="R971" s="1561"/>
      <c r="S971" s="1561"/>
      <c r="T971" s="1561"/>
      <c r="U971" s="1561"/>
      <c r="V971" s="1561"/>
      <c r="W971" s="1561"/>
      <c r="X971" s="1561"/>
      <c r="Y971" s="1561"/>
      <c r="Z971" s="1561"/>
      <c r="AA971" s="1561"/>
      <c r="AB971" s="1561"/>
      <c r="AC971" s="1561"/>
      <c r="AD971" s="1561"/>
      <c r="AE971" s="1562"/>
      <c r="AF971" s="128"/>
      <c r="AG971" s="1537" t="s">
        <v>531</v>
      </c>
      <c r="AH971" s="1538"/>
      <c r="AI971" s="131"/>
      <c r="AJ971" s="1563">
        <f>IF(AG971="yes",AJ951*AY930,0)</f>
        <v>0</v>
      </c>
      <c r="AK971" s="1564"/>
      <c r="AL971" s="1564"/>
      <c r="AM971" s="1564"/>
      <c r="AN971" s="1564"/>
      <c r="AO971" s="1564"/>
      <c r="AP971" s="1564"/>
      <c r="AQ971" s="156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1548" t="s">
        <v>2305</v>
      </c>
      <c r="E972" s="1549"/>
      <c r="F972" s="1549"/>
      <c r="G972" s="1549"/>
      <c r="H972" s="1549"/>
      <c r="I972" s="1549"/>
      <c r="J972" s="1549"/>
      <c r="K972" s="1549"/>
      <c r="L972" s="1549"/>
      <c r="M972" s="1549"/>
      <c r="N972" s="1549"/>
      <c r="O972" s="1549"/>
      <c r="P972" s="1549"/>
      <c r="Q972" s="1549"/>
      <c r="R972" s="1549"/>
      <c r="S972" s="1549"/>
      <c r="T972" s="1549"/>
      <c r="U972" s="1549"/>
      <c r="V972" s="1549"/>
      <c r="W972" s="1549"/>
      <c r="X972" s="1549"/>
      <c r="Y972" s="1549"/>
      <c r="Z972" s="1549"/>
      <c r="AA972" s="1549"/>
      <c r="AB972" s="1549"/>
      <c r="AC972" s="1549"/>
      <c r="AD972" s="1549"/>
      <c r="AE972" s="1550"/>
      <c r="AF972" s="124"/>
      <c r="AG972" s="125"/>
      <c r="AH972" s="125"/>
      <c r="AI972" s="129"/>
      <c r="AJ972" s="1566"/>
      <c r="AK972" s="1567"/>
      <c r="AL972" s="1567"/>
      <c r="AM972" s="1567"/>
      <c r="AN972" s="1567"/>
      <c r="AO972" s="1567"/>
      <c r="AP972" s="1567"/>
      <c r="AQ972" s="156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548"/>
      <c r="E973" s="1549"/>
      <c r="F973" s="1549"/>
      <c r="G973" s="1549"/>
      <c r="H973" s="1549"/>
      <c r="I973" s="1549"/>
      <c r="J973" s="1549"/>
      <c r="K973" s="1549"/>
      <c r="L973" s="1549"/>
      <c r="M973" s="1549"/>
      <c r="N973" s="1549"/>
      <c r="O973" s="1549"/>
      <c r="P973" s="1549"/>
      <c r="Q973" s="1549"/>
      <c r="R973" s="1549"/>
      <c r="S973" s="1549"/>
      <c r="T973" s="1549"/>
      <c r="U973" s="1549"/>
      <c r="V973" s="1549"/>
      <c r="W973" s="1549"/>
      <c r="X973" s="1549"/>
      <c r="Y973" s="1549"/>
      <c r="Z973" s="1549"/>
      <c r="AA973" s="1549"/>
      <c r="AB973" s="1549"/>
      <c r="AC973" s="1549"/>
      <c r="AD973" s="1549"/>
      <c r="AE973" s="1550"/>
      <c r="AF973" s="124"/>
      <c r="AG973" s="125"/>
      <c r="AH973" s="125"/>
      <c r="AI973" s="129"/>
      <c r="AJ973" s="1566"/>
      <c r="AK973" s="1567"/>
      <c r="AL973" s="1567"/>
      <c r="AM973" s="1567"/>
      <c r="AN973" s="1567"/>
      <c r="AO973" s="1567"/>
      <c r="AP973" s="1567"/>
      <c r="AQ973" s="156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73"/>
      <c r="C974" s="1469"/>
      <c r="D974" s="1551"/>
      <c r="E974" s="1552"/>
      <c r="F974" s="1552"/>
      <c r="G974" s="1552"/>
      <c r="H974" s="1552"/>
      <c r="I974" s="1552"/>
      <c r="J974" s="1552"/>
      <c r="K974" s="1552"/>
      <c r="L974" s="1552"/>
      <c r="M974" s="1552"/>
      <c r="N974" s="1552"/>
      <c r="O974" s="1552"/>
      <c r="P974" s="1552"/>
      <c r="Q974" s="1552"/>
      <c r="R974" s="1552"/>
      <c r="S974" s="1552"/>
      <c r="T974" s="1552"/>
      <c r="U974" s="1552"/>
      <c r="V974" s="1552"/>
      <c r="W974" s="1552"/>
      <c r="X974" s="1552"/>
      <c r="Y974" s="1552"/>
      <c r="Z974" s="1552"/>
      <c r="AA974" s="1552"/>
      <c r="AB974" s="1552"/>
      <c r="AC974" s="1552"/>
      <c r="AD974" s="1552"/>
      <c r="AE974" s="1553"/>
      <c r="AF974" s="126"/>
      <c r="AG974" s="15"/>
      <c r="AH974" s="15"/>
      <c r="AI974" s="127"/>
      <c r="AJ974" s="1569"/>
      <c r="AK974" s="1570"/>
      <c r="AL974" s="1570"/>
      <c r="AM974" s="1570"/>
      <c r="AN974" s="1570"/>
      <c r="AO974" s="1570"/>
      <c r="AP974" s="1570"/>
      <c r="AQ974" s="157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584" t="s">
        <v>2170</v>
      </c>
      <c r="E975" s="1585"/>
      <c r="F975" s="1585"/>
      <c r="G975" s="1585"/>
      <c r="H975" s="1585"/>
      <c r="I975" s="1585"/>
      <c r="J975" s="1585"/>
      <c r="K975" s="1585"/>
      <c r="L975" s="1585"/>
      <c r="M975" s="1585"/>
      <c r="N975" s="1585"/>
      <c r="O975" s="1585"/>
      <c r="P975" s="1585"/>
      <c r="Q975" s="1585"/>
      <c r="R975" s="1585"/>
      <c r="S975" s="1585"/>
      <c r="T975" s="1585"/>
      <c r="U975" s="1585"/>
      <c r="V975" s="1585"/>
      <c r="W975" s="1585"/>
      <c r="X975" s="1585"/>
      <c r="Y975" s="1585"/>
      <c r="Z975" s="1585"/>
      <c r="AA975" s="1585"/>
      <c r="AB975" s="1585"/>
      <c r="AC975" s="1585"/>
      <c r="AD975" s="1585"/>
      <c r="AE975" s="1586"/>
      <c r="AF975" s="128"/>
      <c r="AG975" s="1537" t="s">
        <v>531</v>
      </c>
      <c r="AH975" s="1538"/>
      <c r="AI975" s="131"/>
      <c r="AJ975" s="1539"/>
      <c r="AK975" s="1540"/>
      <c r="AL975" s="1540"/>
      <c r="AM975" s="1540"/>
      <c r="AN975" s="1540"/>
      <c r="AO975" s="1540"/>
      <c r="AP975" s="1540"/>
      <c r="AQ975" s="154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3"/>
      <c r="C976" s="1474"/>
      <c r="D976" s="1587"/>
      <c r="E976" s="1588"/>
      <c r="F976" s="1588"/>
      <c r="G976" s="1588"/>
      <c r="H976" s="1588"/>
      <c r="I976" s="1588"/>
      <c r="J976" s="1588"/>
      <c r="K976" s="1588"/>
      <c r="L976" s="1588"/>
      <c r="M976" s="1588"/>
      <c r="N976" s="1588"/>
      <c r="O976" s="1588"/>
      <c r="P976" s="1588"/>
      <c r="Q976" s="1588"/>
      <c r="R976" s="1588"/>
      <c r="S976" s="1588"/>
      <c r="T976" s="1588"/>
      <c r="U976" s="1588"/>
      <c r="V976" s="1588"/>
      <c r="W976" s="1588"/>
      <c r="X976" s="1588"/>
      <c r="Y976" s="1588"/>
      <c r="Z976" s="1588"/>
      <c r="AA976" s="1588"/>
      <c r="AB976" s="1588"/>
      <c r="AC976" s="1588"/>
      <c r="AD976" s="1588"/>
      <c r="AE976" s="1589"/>
      <c r="AF976" s="1590">
        <f>IF(AG975="yes","Please Select Type and Enter Amount:",0)</f>
        <v>0</v>
      </c>
      <c r="AG976" s="1591"/>
      <c r="AH976" s="1591"/>
      <c r="AI976" s="1592"/>
      <c r="AJ976" s="1542"/>
      <c r="AK976" s="1543"/>
      <c r="AL976" s="1543"/>
      <c r="AM976" s="1543"/>
      <c r="AN976" s="1543"/>
      <c r="AO976" s="1543"/>
      <c r="AP976" s="1543"/>
      <c r="AQ976" s="154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3"/>
      <c r="C977" s="1474"/>
      <c r="D977" s="1548" t="s">
        <v>2171</v>
      </c>
      <c r="E977" s="1549"/>
      <c r="F977" s="1549"/>
      <c r="G977" s="1549"/>
      <c r="H977" s="1549"/>
      <c r="I977" s="1549"/>
      <c r="J977" s="1549"/>
      <c r="K977" s="1549"/>
      <c r="L977" s="1549"/>
      <c r="M977" s="1549"/>
      <c r="N977" s="1549"/>
      <c r="O977" s="1549"/>
      <c r="P977" s="1549"/>
      <c r="Q977" s="1549"/>
      <c r="R977" s="1549"/>
      <c r="S977" s="1549"/>
      <c r="T977" s="1549"/>
      <c r="U977" s="1549"/>
      <c r="V977" s="1549"/>
      <c r="W977" s="1549"/>
      <c r="X977" s="1549"/>
      <c r="Y977" s="1549"/>
      <c r="Z977" s="1549"/>
      <c r="AA977" s="1549"/>
      <c r="AB977" s="1549"/>
      <c r="AC977" s="1549"/>
      <c r="AD977" s="1549"/>
      <c r="AE977" s="1550"/>
      <c r="AF977" s="1590"/>
      <c r="AG977" s="1591"/>
      <c r="AH977" s="1591"/>
      <c r="AI977" s="1592"/>
      <c r="AJ977" s="1542"/>
      <c r="AK977" s="1543"/>
      <c r="AL977" s="1543"/>
      <c r="AM977" s="1543"/>
      <c r="AN977" s="1543"/>
      <c r="AO977" s="1543"/>
      <c r="AP977" s="1543"/>
      <c r="AQ977" s="154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3"/>
      <c r="C978" s="1474"/>
      <c r="D978" s="1548"/>
      <c r="E978" s="1549"/>
      <c r="F978" s="1549"/>
      <c r="G978" s="1549"/>
      <c r="H978" s="1549"/>
      <c r="I978" s="1549"/>
      <c r="J978" s="1549"/>
      <c r="K978" s="1549"/>
      <c r="L978" s="1549"/>
      <c r="M978" s="1549"/>
      <c r="N978" s="1549"/>
      <c r="O978" s="1549"/>
      <c r="P978" s="1549"/>
      <c r="Q978" s="1549"/>
      <c r="R978" s="1549"/>
      <c r="S978" s="1549"/>
      <c r="T978" s="1549"/>
      <c r="U978" s="1549"/>
      <c r="V978" s="1549"/>
      <c r="W978" s="1549"/>
      <c r="X978" s="1549"/>
      <c r="Y978" s="1549"/>
      <c r="Z978" s="1549"/>
      <c r="AA978" s="1549"/>
      <c r="AB978" s="1549"/>
      <c r="AC978" s="1549"/>
      <c r="AD978" s="1549"/>
      <c r="AE978" s="1550"/>
      <c r="AF978" s="1590"/>
      <c r="AG978" s="1591"/>
      <c r="AH978" s="1591"/>
      <c r="AI978" s="1592"/>
      <c r="AJ978" s="1542"/>
      <c r="AK978" s="1543"/>
      <c r="AL978" s="1543"/>
      <c r="AM978" s="1543"/>
      <c r="AN978" s="1543"/>
      <c r="AO978" s="1543"/>
      <c r="AP978" s="1543"/>
      <c r="AQ978" s="15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3"/>
      <c r="C979" s="1474"/>
      <c r="D979" s="1475" t="s">
        <v>982</v>
      </c>
      <c r="E979" s="141"/>
      <c r="F979" s="141"/>
      <c r="G979" s="646"/>
      <c r="H979" s="646"/>
      <c r="I979" s="95"/>
      <c r="J979" s="1596" t="s">
        <v>136</v>
      </c>
      <c r="K979" s="1597"/>
      <c r="L979" s="1597"/>
      <c r="M979" s="1597"/>
      <c r="N979" s="1597"/>
      <c r="O979" s="1597"/>
      <c r="P979" s="1597"/>
      <c r="Q979" s="1597"/>
      <c r="R979" s="1597"/>
      <c r="S979" s="1597"/>
      <c r="T979" s="1597"/>
      <c r="U979" s="1597"/>
      <c r="V979" s="1597"/>
      <c r="W979" s="1597"/>
      <c r="X979" s="1597"/>
      <c r="Y979" s="1597"/>
      <c r="Z979" s="1597"/>
      <c r="AA979" s="1597"/>
      <c r="AB979" s="1597"/>
      <c r="AC979" s="1597"/>
      <c r="AD979" s="1597"/>
      <c r="AE979" s="1598"/>
      <c r="AF979" s="1593"/>
      <c r="AG979" s="1594"/>
      <c r="AH979" s="1594"/>
      <c r="AI979" s="1595"/>
      <c r="AJ979" s="1545"/>
      <c r="AK979" s="1546"/>
      <c r="AL979" s="1546"/>
      <c r="AM979" s="1546"/>
      <c r="AN979" s="1546"/>
      <c r="AO979" s="1546"/>
      <c r="AP979" s="1546"/>
      <c r="AQ979" s="154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534" t="s">
        <v>2172</v>
      </c>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6"/>
      <c r="AF980" s="128"/>
      <c r="AG980" s="1537" t="s">
        <v>531</v>
      </c>
      <c r="AH980" s="1538"/>
      <c r="AI980" s="131"/>
      <c r="AJ980" s="1539"/>
      <c r="AK980" s="1540"/>
      <c r="AL980" s="1540"/>
      <c r="AM980" s="1540"/>
      <c r="AN980" s="1540"/>
      <c r="AO980" s="1540"/>
      <c r="AP980" s="1540"/>
      <c r="AQ980" s="154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548" t="s">
        <v>2306</v>
      </c>
      <c r="E981" s="1549"/>
      <c r="F981" s="1549"/>
      <c r="G981" s="1549"/>
      <c r="H981" s="1549"/>
      <c r="I981" s="1549"/>
      <c r="J981" s="1549"/>
      <c r="K981" s="1549"/>
      <c r="L981" s="1549"/>
      <c r="M981" s="1549"/>
      <c r="N981" s="1549"/>
      <c r="O981" s="1549"/>
      <c r="P981" s="1549"/>
      <c r="Q981" s="1549"/>
      <c r="R981" s="1549"/>
      <c r="S981" s="1549"/>
      <c r="T981" s="1549"/>
      <c r="U981" s="1549"/>
      <c r="V981" s="1549"/>
      <c r="W981" s="1549"/>
      <c r="X981" s="1549"/>
      <c r="Y981" s="1549"/>
      <c r="Z981" s="1549"/>
      <c r="AA981" s="1549"/>
      <c r="AB981" s="1549"/>
      <c r="AC981" s="1549"/>
      <c r="AD981" s="1549"/>
      <c r="AE981" s="1550"/>
      <c r="AF981" s="1554">
        <f>IF(AG980="yes","Please Enter Amount:",0)</f>
        <v>0</v>
      </c>
      <c r="AG981" s="1555"/>
      <c r="AH981" s="1555"/>
      <c r="AI981" s="1556"/>
      <c r="AJ981" s="1542"/>
      <c r="AK981" s="1543"/>
      <c r="AL981" s="1543"/>
      <c r="AM981" s="1543"/>
      <c r="AN981" s="1543"/>
      <c r="AO981" s="1543"/>
      <c r="AP981" s="1543"/>
      <c r="AQ981" s="154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1548"/>
      <c r="E982" s="1549"/>
      <c r="F982" s="1549"/>
      <c r="G982" s="1549"/>
      <c r="H982" s="1549"/>
      <c r="I982" s="1549"/>
      <c r="J982" s="1549"/>
      <c r="K982" s="1549"/>
      <c r="L982" s="1549"/>
      <c r="M982" s="1549"/>
      <c r="N982" s="1549"/>
      <c r="O982" s="1549"/>
      <c r="P982" s="1549"/>
      <c r="Q982" s="1549"/>
      <c r="R982" s="1549"/>
      <c r="S982" s="1549"/>
      <c r="T982" s="1549"/>
      <c r="U982" s="1549"/>
      <c r="V982" s="1549"/>
      <c r="W982" s="1549"/>
      <c r="X982" s="1549"/>
      <c r="Y982" s="1549"/>
      <c r="Z982" s="1549"/>
      <c r="AA982" s="1549"/>
      <c r="AB982" s="1549"/>
      <c r="AC982" s="1549"/>
      <c r="AD982" s="1549"/>
      <c r="AE982" s="1550"/>
      <c r="AF982" s="1554"/>
      <c r="AG982" s="1555"/>
      <c r="AH982" s="1555"/>
      <c r="AI982" s="1556"/>
      <c r="AJ982" s="1542"/>
      <c r="AK982" s="1543"/>
      <c r="AL982" s="1543"/>
      <c r="AM982" s="1543"/>
      <c r="AN982" s="1543"/>
      <c r="AO982" s="1543"/>
      <c r="AP982" s="1543"/>
      <c r="AQ982" s="154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2"/>
      <c r="C983" s="1474"/>
      <c r="D983" s="1551"/>
      <c r="E983" s="1552"/>
      <c r="F983" s="1552"/>
      <c r="G983" s="1552"/>
      <c r="H983" s="1552"/>
      <c r="I983" s="1552"/>
      <c r="J983" s="1552"/>
      <c r="K983" s="1552"/>
      <c r="L983" s="1552"/>
      <c r="M983" s="1552"/>
      <c r="N983" s="1552"/>
      <c r="O983" s="1552"/>
      <c r="P983" s="1552"/>
      <c r="Q983" s="1552"/>
      <c r="R983" s="1552"/>
      <c r="S983" s="1552"/>
      <c r="T983" s="1552"/>
      <c r="U983" s="1552"/>
      <c r="V983" s="1552"/>
      <c r="W983" s="1552"/>
      <c r="X983" s="1552"/>
      <c r="Y983" s="1552"/>
      <c r="Z983" s="1552"/>
      <c r="AA983" s="1552"/>
      <c r="AB983" s="1552"/>
      <c r="AC983" s="1552"/>
      <c r="AD983" s="1552"/>
      <c r="AE983" s="1553"/>
      <c r="AF983" s="1557"/>
      <c r="AG983" s="1558"/>
      <c r="AH983" s="1558"/>
      <c r="AI983" s="1559"/>
      <c r="AJ983" s="1545"/>
      <c r="AK983" s="1546"/>
      <c r="AL983" s="1546"/>
      <c r="AM983" s="1546"/>
      <c r="AN983" s="1546"/>
      <c r="AO983" s="1546"/>
      <c r="AP983" s="1546"/>
      <c r="AQ983" s="1547"/>
    </row>
    <row r="984" spans="1:97" ht="12.75" customHeight="1">
      <c r="A984" s="65"/>
      <c r="B984" s="128"/>
      <c r="C984" s="884" t="s">
        <v>638</v>
      </c>
      <c r="D984" s="1560" t="s">
        <v>2173</v>
      </c>
      <c r="E984" s="1561"/>
      <c r="F984" s="1561"/>
      <c r="G984" s="1561"/>
      <c r="H984" s="1561"/>
      <c r="I984" s="1561"/>
      <c r="J984" s="1561"/>
      <c r="K984" s="1561"/>
      <c r="L984" s="1561"/>
      <c r="M984" s="1561"/>
      <c r="N984" s="1561"/>
      <c r="O984" s="1561"/>
      <c r="P984" s="1561"/>
      <c r="Q984" s="1561"/>
      <c r="R984" s="1561"/>
      <c r="S984" s="1561"/>
      <c r="T984" s="1561"/>
      <c r="U984" s="1561"/>
      <c r="V984" s="1561"/>
      <c r="W984" s="1561"/>
      <c r="X984" s="1561"/>
      <c r="Y984" s="1561"/>
      <c r="Z984" s="1561"/>
      <c r="AA984" s="1561"/>
      <c r="AB984" s="1561"/>
      <c r="AC984" s="1561"/>
      <c r="AD984" s="1561"/>
      <c r="AE984" s="1562"/>
      <c r="AF984" s="128"/>
      <c r="AG984" s="1537" t="s">
        <v>119</v>
      </c>
      <c r="AH984" s="1538"/>
      <c r="AI984" s="131"/>
      <c r="AJ984" s="1563">
        <f>ROUND(IF(AG984="yes",(AJ951*0.1),0),0)</f>
        <v>2912507</v>
      </c>
      <c r="AK984" s="1564"/>
      <c r="AL984" s="1564"/>
      <c r="AM984" s="1564"/>
      <c r="AN984" s="1564"/>
      <c r="AO984" s="1564"/>
      <c r="AP984" s="1564"/>
      <c r="AQ984" s="1565"/>
    </row>
    <row r="985" spans="1:97" ht="12.75" customHeight="1">
      <c r="A985" s="65"/>
      <c r="B985" s="124"/>
      <c r="C985" s="885"/>
      <c r="D985" s="1548" t="s">
        <v>2174</v>
      </c>
      <c r="E985" s="1549"/>
      <c r="F985" s="1549"/>
      <c r="G985" s="1549"/>
      <c r="H985" s="1549"/>
      <c r="I985" s="1549"/>
      <c r="J985" s="1549"/>
      <c r="K985" s="1549"/>
      <c r="L985" s="1549"/>
      <c r="M985" s="1549"/>
      <c r="N985" s="1549"/>
      <c r="O985" s="1549"/>
      <c r="P985" s="1549"/>
      <c r="Q985" s="1549"/>
      <c r="R985" s="1549"/>
      <c r="S985" s="1549"/>
      <c r="T985" s="1549"/>
      <c r="U985" s="1549"/>
      <c r="V985" s="1549"/>
      <c r="W985" s="1549"/>
      <c r="X985" s="1549"/>
      <c r="Y985" s="1549"/>
      <c r="Z985" s="1549"/>
      <c r="AA985" s="1549"/>
      <c r="AB985" s="1549"/>
      <c r="AC985" s="1549"/>
      <c r="AD985" s="1549"/>
      <c r="AE985" s="1550"/>
      <c r="AF985" s="124"/>
      <c r="AG985" s="125"/>
      <c r="AH985" s="125"/>
      <c r="AI985" s="129"/>
      <c r="AJ985" s="1566"/>
      <c r="AK985" s="1567"/>
      <c r="AL985" s="1567"/>
      <c r="AM985" s="1567"/>
      <c r="AN985" s="1567"/>
      <c r="AO985" s="1567"/>
      <c r="AP985" s="1567"/>
      <c r="AQ985" s="1568"/>
    </row>
    <row r="986" spans="1:97" ht="12.75" customHeight="1">
      <c r="A986" s="883"/>
      <c r="B986" s="126"/>
      <c r="C986" s="885"/>
      <c r="D986" s="1551"/>
      <c r="E986" s="1552"/>
      <c r="F986" s="1552"/>
      <c r="G986" s="1552"/>
      <c r="H986" s="1552"/>
      <c r="I986" s="1552"/>
      <c r="J986" s="1552"/>
      <c r="K986" s="1552"/>
      <c r="L986" s="1552"/>
      <c r="M986" s="1552"/>
      <c r="N986" s="1552"/>
      <c r="O986" s="1552"/>
      <c r="P986" s="1552"/>
      <c r="Q986" s="1552"/>
      <c r="R986" s="1552"/>
      <c r="S986" s="1552"/>
      <c r="T986" s="1552"/>
      <c r="U986" s="1552"/>
      <c r="V986" s="1552"/>
      <c r="W986" s="1552"/>
      <c r="X986" s="1552"/>
      <c r="Y986" s="1552"/>
      <c r="Z986" s="1552"/>
      <c r="AA986" s="1552"/>
      <c r="AB986" s="1552"/>
      <c r="AC986" s="1552"/>
      <c r="AD986" s="1552"/>
      <c r="AE986" s="1553"/>
      <c r="AF986" s="124"/>
      <c r="AG986" s="125"/>
      <c r="AH986" s="125"/>
      <c r="AI986" s="129"/>
      <c r="AJ986" s="1569"/>
      <c r="AK986" s="1570"/>
      <c r="AL986" s="1570"/>
      <c r="AM986" s="1570"/>
      <c r="AN986" s="1570"/>
      <c r="AO986" s="1570"/>
      <c r="AP986" s="1570"/>
      <c r="AQ986" s="1571"/>
    </row>
    <row r="987" spans="1:97" ht="17.7" customHeight="1">
      <c r="A987" s="883"/>
      <c r="B987" s="124"/>
      <c r="C987" s="884" t="s">
        <v>641</v>
      </c>
      <c r="D987" s="1534" t="s">
        <v>2307</v>
      </c>
      <c r="E987" s="1535"/>
      <c r="F987" s="1535"/>
      <c r="G987" s="1535"/>
      <c r="H987" s="1535"/>
      <c r="I987" s="1535"/>
      <c r="J987" s="1535"/>
      <c r="K987" s="1535"/>
      <c r="L987" s="1535"/>
      <c r="M987" s="1535"/>
      <c r="N987" s="1535"/>
      <c r="O987" s="1535"/>
      <c r="P987" s="1535"/>
      <c r="Q987" s="1535"/>
      <c r="R987" s="1535"/>
      <c r="S987" s="1535"/>
      <c r="T987" s="1535"/>
      <c r="U987" s="1535"/>
      <c r="V987" s="1535"/>
      <c r="W987" s="1535"/>
      <c r="X987" s="1535"/>
      <c r="Y987" s="1535"/>
      <c r="Z987" s="1535"/>
      <c r="AA987" s="1535"/>
      <c r="AB987" s="1535"/>
      <c r="AC987" s="1535"/>
      <c r="AD987" s="1535"/>
      <c r="AE987" s="1536"/>
      <c r="AF987" s="128"/>
      <c r="AG987" s="1537" t="s">
        <v>531</v>
      </c>
      <c r="AH987" s="1538"/>
      <c r="AI987" s="131"/>
      <c r="AJ987" s="1563">
        <f>ROUND(IF(AG987="yes",(AJ951*0.15),0),0)</f>
        <v>0</v>
      </c>
      <c r="AK987" s="1564"/>
      <c r="AL987" s="1564"/>
      <c r="AM987" s="1564"/>
      <c r="AN987" s="1564"/>
      <c r="AO987" s="1564"/>
      <c r="AP987" s="1564"/>
      <c r="AQ987" s="1565"/>
    </row>
    <row r="988" spans="1:97" ht="12.75" customHeight="1">
      <c r="A988" s="883"/>
      <c r="B988" s="124"/>
      <c r="C988" s="885"/>
      <c r="D988" s="1572" t="s">
        <v>2308</v>
      </c>
      <c r="E988" s="1512"/>
      <c r="F988" s="1512"/>
      <c r="G988" s="1512"/>
      <c r="H988" s="1512"/>
      <c r="I988" s="1512"/>
      <c r="J988" s="1512"/>
      <c r="K988" s="1512"/>
      <c r="L988" s="1512"/>
      <c r="M988" s="1512"/>
      <c r="N988" s="1512"/>
      <c r="O988" s="1512"/>
      <c r="P988" s="1512"/>
      <c r="Q988" s="1512"/>
      <c r="R988" s="1512"/>
      <c r="S988" s="1512"/>
      <c r="T988" s="1512"/>
      <c r="U988" s="1512"/>
      <c r="V988" s="1512"/>
      <c r="W988" s="1512"/>
      <c r="X988" s="1512"/>
      <c r="Y988" s="1512"/>
      <c r="Z988" s="1512"/>
      <c r="AA988" s="1512"/>
      <c r="AB988" s="1512"/>
      <c r="AC988" s="1512"/>
      <c r="AD988" s="1512"/>
      <c r="AE988" s="1573"/>
      <c r="AF988" s="1476"/>
      <c r="AG988" s="1477"/>
      <c r="AH988" s="1477"/>
      <c r="AI988" s="1478"/>
      <c r="AJ988" s="1566"/>
      <c r="AK988" s="1567"/>
      <c r="AL988" s="1567"/>
      <c r="AM988" s="1567"/>
      <c r="AN988" s="1567"/>
      <c r="AO988" s="1567"/>
      <c r="AP988" s="1567"/>
      <c r="AQ988" s="156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572"/>
      <c r="E989" s="1512"/>
      <c r="F989" s="1512"/>
      <c r="G989" s="1512"/>
      <c r="H989" s="1512"/>
      <c r="I989" s="1512"/>
      <c r="J989" s="1512"/>
      <c r="K989" s="1512"/>
      <c r="L989" s="1512"/>
      <c r="M989" s="1512"/>
      <c r="N989" s="1512"/>
      <c r="O989" s="1512"/>
      <c r="P989" s="1512"/>
      <c r="Q989" s="1512"/>
      <c r="R989" s="1512"/>
      <c r="S989" s="1512"/>
      <c r="T989" s="1512"/>
      <c r="U989" s="1512"/>
      <c r="V989" s="1512"/>
      <c r="W989" s="1512"/>
      <c r="X989" s="1512"/>
      <c r="Y989" s="1512"/>
      <c r="Z989" s="1512"/>
      <c r="AA989" s="1512"/>
      <c r="AB989" s="1512"/>
      <c r="AC989" s="1512"/>
      <c r="AD989" s="1512"/>
      <c r="AE989" s="1573"/>
      <c r="AF989" s="1476"/>
      <c r="AG989" s="1477"/>
      <c r="AH989" s="1477"/>
      <c r="AI989" s="1478"/>
      <c r="AJ989" s="1566"/>
      <c r="AK989" s="1567"/>
      <c r="AL989" s="1567"/>
      <c r="AM989" s="1567"/>
      <c r="AN989" s="1567"/>
      <c r="AO989" s="1567"/>
      <c r="AP989" s="1567"/>
      <c r="AQ989" s="156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574"/>
      <c r="E990" s="1575"/>
      <c r="F990" s="1575"/>
      <c r="G990" s="1575"/>
      <c r="H990" s="1575"/>
      <c r="I990" s="1575"/>
      <c r="J990" s="1575"/>
      <c r="K990" s="1575"/>
      <c r="L990" s="1575"/>
      <c r="M990" s="1575"/>
      <c r="N990" s="1575"/>
      <c r="O990" s="1575"/>
      <c r="P990" s="1575"/>
      <c r="Q990" s="1575"/>
      <c r="R990" s="1575"/>
      <c r="S990" s="1575"/>
      <c r="T990" s="1575"/>
      <c r="U990" s="1575"/>
      <c r="V990" s="1575"/>
      <c r="W990" s="1575"/>
      <c r="X990" s="1575"/>
      <c r="Y990" s="1575"/>
      <c r="Z990" s="1575"/>
      <c r="AA990" s="1575"/>
      <c r="AB990" s="1575"/>
      <c r="AC990" s="1575"/>
      <c r="AD990" s="1575"/>
      <c r="AE990" s="1576"/>
      <c r="AF990" s="1479"/>
      <c r="AG990" s="1480"/>
      <c r="AH990" s="1480"/>
      <c r="AI990" s="1481"/>
      <c r="AJ990" s="1569"/>
      <c r="AK990" s="1570"/>
      <c r="AL990" s="1570"/>
      <c r="AM990" s="1570"/>
      <c r="AN990" s="1570"/>
      <c r="AO990" s="1570"/>
      <c r="AP990" s="1570"/>
      <c r="AQ990" s="157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560" t="s">
        <v>2309</v>
      </c>
      <c r="E991" s="1561"/>
      <c r="F991" s="1561"/>
      <c r="G991" s="1561"/>
      <c r="H991" s="1561"/>
      <c r="I991" s="1561"/>
      <c r="J991" s="1561"/>
      <c r="K991" s="1561"/>
      <c r="L991" s="1561"/>
      <c r="M991" s="1561"/>
      <c r="N991" s="1561"/>
      <c r="O991" s="1561"/>
      <c r="P991" s="1561"/>
      <c r="Q991" s="1561"/>
      <c r="R991" s="1561"/>
      <c r="S991" s="1561"/>
      <c r="T991" s="1561"/>
      <c r="U991" s="1561"/>
      <c r="V991" s="1561"/>
      <c r="W991" s="1561"/>
      <c r="X991" s="1561"/>
      <c r="Y991" s="1561"/>
      <c r="Z991" s="1561"/>
      <c r="AA991" s="1561"/>
      <c r="AB991" s="1561"/>
      <c r="AC991" s="1561"/>
      <c r="AD991" s="1561"/>
      <c r="AE991" s="1562"/>
      <c r="AF991" s="124"/>
      <c r="AG991" s="1582" t="s">
        <v>531</v>
      </c>
      <c r="AH991" s="1583"/>
      <c r="AI991" s="129"/>
      <c r="AJ991" s="1563">
        <f>ROUND(IF(AG991="yes",(AJ951*0.1),0),0)</f>
        <v>0</v>
      </c>
      <c r="AK991" s="1564"/>
      <c r="AL991" s="1564"/>
      <c r="AM991" s="1564"/>
      <c r="AN991" s="1564"/>
      <c r="AO991" s="1564"/>
      <c r="AP991" s="1564"/>
      <c r="AQ991" s="156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572" t="s">
        <v>2310</v>
      </c>
      <c r="E992" s="1512"/>
      <c r="F992" s="1512"/>
      <c r="G992" s="1512"/>
      <c r="H992" s="1512"/>
      <c r="I992" s="1512"/>
      <c r="J992" s="1512"/>
      <c r="K992" s="1512"/>
      <c r="L992" s="1512"/>
      <c r="M992" s="1512"/>
      <c r="N992" s="1512"/>
      <c r="O992" s="1512"/>
      <c r="P992" s="1512"/>
      <c r="Q992" s="1512"/>
      <c r="R992" s="1512"/>
      <c r="S992" s="1512"/>
      <c r="T992" s="1512"/>
      <c r="U992" s="1512"/>
      <c r="V992" s="1512"/>
      <c r="W992" s="1512"/>
      <c r="X992" s="1512"/>
      <c r="Y992" s="1512"/>
      <c r="Z992" s="1512"/>
      <c r="AA992" s="1512"/>
      <c r="AB992" s="1512"/>
      <c r="AC992" s="1512"/>
      <c r="AD992" s="1512"/>
      <c r="AE992" s="1573"/>
      <c r="AF992" s="124"/>
      <c r="AG992" s="125"/>
      <c r="AH992" s="125"/>
      <c r="AI992" s="129"/>
      <c r="AJ992" s="1566"/>
      <c r="AK992" s="1567"/>
      <c r="AL992" s="1567"/>
      <c r="AM992" s="1567"/>
      <c r="AN992" s="1567"/>
      <c r="AO992" s="1567"/>
      <c r="AP992" s="1567"/>
      <c r="AQ992" s="156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572"/>
      <c r="E993" s="1512"/>
      <c r="F993" s="1512"/>
      <c r="G993" s="1512"/>
      <c r="H993" s="1512"/>
      <c r="I993" s="1512"/>
      <c r="J993" s="1512"/>
      <c r="K993" s="1512"/>
      <c r="L993" s="1512"/>
      <c r="M993" s="1512"/>
      <c r="N993" s="1512"/>
      <c r="O993" s="1512"/>
      <c r="P993" s="1512"/>
      <c r="Q993" s="1512"/>
      <c r="R993" s="1512"/>
      <c r="S993" s="1512"/>
      <c r="T993" s="1512"/>
      <c r="U993" s="1512"/>
      <c r="V993" s="1512"/>
      <c r="W993" s="1512"/>
      <c r="X993" s="1512"/>
      <c r="Y993" s="1512"/>
      <c r="Z993" s="1512"/>
      <c r="AA993" s="1512"/>
      <c r="AB993" s="1512"/>
      <c r="AC993" s="1512"/>
      <c r="AD993" s="1512"/>
      <c r="AE993" s="1573"/>
      <c r="AF993" s="124"/>
      <c r="AG993" s="125"/>
      <c r="AH993" s="125"/>
      <c r="AI993" s="129"/>
      <c r="AJ993" s="1566"/>
      <c r="AK993" s="1567"/>
      <c r="AL993" s="1567"/>
      <c r="AM993" s="1567"/>
      <c r="AN993" s="1567"/>
      <c r="AO993" s="1567"/>
      <c r="AP993" s="1567"/>
      <c r="AQ993" s="156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572"/>
      <c r="E994" s="1512"/>
      <c r="F994" s="1512"/>
      <c r="G994" s="1512"/>
      <c r="H994" s="1512"/>
      <c r="I994" s="1512"/>
      <c r="J994" s="1512"/>
      <c r="K994" s="1512"/>
      <c r="L994" s="1512"/>
      <c r="M994" s="1512"/>
      <c r="N994" s="1512"/>
      <c r="O994" s="1512"/>
      <c r="P994" s="1512"/>
      <c r="Q994" s="1512"/>
      <c r="R994" s="1512"/>
      <c r="S994" s="1512"/>
      <c r="T994" s="1512"/>
      <c r="U994" s="1512"/>
      <c r="V994" s="1512"/>
      <c r="W994" s="1512"/>
      <c r="X994" s="1512"/>
      <c r="Y994" s="1512"/>
      <c r="Z994" s="1512"/>
      <c r="AA994" s="1512"/>
      <c r="AB994" s="1512"/>
      <c r="AC994" s="1512"/>
      <c r="AD994" s="1512"/>
      <c r="AE994" s="1573"/>
      <c r="AF994" s="124"/>
      <c r="AG994" s="125"/>
      <c r="AH994" s="125"/>
      <c r="AI994" s="129"/>
      <c r="AJ994" s="1566"/>
      <c r="AK994" s="1567"/>
      <c r="AL994" s="1567"/>
      <c r="AM994" s="1567"/>
      <c r="AN994" s="1567"/>
      <c r="AO994" s="1567"/>
      <c r="AP994" s="1567"/>
      <c r="AQ994" s="156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574"/>
      <c r="E995" s="1575"/>
      <c r="F995" s="1575"/>
      <c r="G995" s="1575"/>
      <c r="H995" s="1575"/>
      <c r="I995" s="1575"/>
      <c r="J995" s="1575"/>
      <c r="K995" s="1575"/>
      <c r="L995" s="1575"/>
      <c r="M995" s="1575"/>
      <c r="N995" s="1575"/>
      <c r="O995" s="1575"/>
      <c r="P995" s="1575"/>
      <c r="Q995" s="1575"/>
      <c r="R995" s="1575"/>
      <c r="S995" s="1575"/>
      <c r="T995" s="1575"/>
      <c r="U995" s="1575"/>
      <c r="V995" s="1575"/>
      <c r="W995" s="1575"/>
      <c r="X995" s="1575"/>
      <c r="Y995" s="1575"/>
      <c r="Z995" s="1575"/>
      <c r="AA995" s="1575"/>
      <c r="AB995" s="1575"/>
      <c r="AC995" s="1575"/>
      <c r="AD995" s="1575"/>
      <c r="AE995" s="1576"/>
      <c r="AF995" s="124"/>
      <c r="AG995" s="125"/>
      <c r="AH995" s="125"/>
      <c r="AI995" s="129"/>
      <c r="AJ995" s="1566"/>
      <c r="AK995" s="1567"/>
      <c r="AL995" s="1567"/>
      <c r="AM995" s="1567"/>
      <c r="AN995" s="1567"/>
      <c r="AO995" s="1567"/>
      <c r="AP995" s="1567"/>
      <c r="AQ995" s="156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2" t="s">
        <v>2311</v>
      </c>
      <c r="D996" s="1534" t="s">
        <v>2175</v>
      </c>
      <c r="E996" s="1535"/>
      <c r="F996" s="1535"/>
      <c r="G996" s="1535"/>
      <c r="H996" s="1535"/>
      <c r="I996" s="1535"/>
      <c r="J996" s="1535"/>
      <c r="K996" s="1535"/>
      <c r="L996" s="1535"/>
      <c r="M996" s="1535"/>
      <c r="N996" s="1535"/>
      <c r="O996" s="1535"/>
      <c r="P996" s="1535"/>
      <c r="Q996" s="1535"/>
      <c r="R996" s="1535"/>
      <c r="S996" s="1535"/>
      <c r="T996" s="1535"/>
      <c r="U996" s="1535"/>
      <c r="V996" s="1535"/>
      <c r="W996" s="1535"/>
      <c r="X996" s="1535"/>
      <c r="Y996" s="1535"/>
      <c r="Z996" s="1535"/>
      <c r="AA996" s="1535"/>
      <c r="AB996" s="1535"/>
      <c r="AC996" s="1535"/>
      <c r="AD996" s="1535"/>
      <c r="AE996" s="1536"/>
      <c r="AF996" s="128"/>
      <c r="AG996" s="1537" t="s">
        <v>531</v>
      </c>
      <c r="AH996" s="1538"/>
      <c r="AI996" s="131"/>
      <c r="AJ996" s="1563">
        <f>ROUND(IF(AG996="yes",(AJ951*0.1),0),0)</f>
        <v>0</v>
      </c>
      <c r="AK996" s="1564"/>
      <c r="AL996" s="1564"/>
      <c r="AM996" s="1564"/>
      <c r="AN996" s="1564"/>
      <c r="AO996" s="1564"/>
      <c r="AP996" s="1564"/>
      <c r="AQ996" s="156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548" t="s">
        <v>2312</v>
      </c>
      <c r="E997" s="1549"/>
      <c r="F997" s="1549"/>
      <c r="G997" s="1549"/>
      <c r="H997" s="1549"/>
      <c r="I997" s="1549"/>
      <c r="J997" s="1549"/>
      <c r="K997" s="1549"/>
      <c r="L997" s="1549"/>
      <c r="M997" s="1549"/>
      <c r="N997" s="1549"/>
      <c r="O997" s="1549"/>
      <c r="P997" s="1549"/>
      <c r="Q997" s="1549"/>
      <c r="R997" s="1549"/>
      <c r="S997" s="1549"/>
      <c r="T997" s="1549"/>
      <c r="U997" s="1549"/>
      <c r="V997" s="1549"/>
      <c r="W997" s="1549"/>
      <c r="X997" s="1549"/>
      <c r="Y997" s="1549"/>
      <c r="Z997" s="1549"/>
      <c r="AA997" s="1549"/>
      <c r="AB997" s="1549"/>
      <c r="AC997" s="1549"/>
      <c r="AD997" s="1549"/>
      <c r="AE997" s="1550"/>
      <c r="AF997" s="124"/>
      <c r="AG997" s="125"/>
      <c r="AH997" s="125"/>
      <c r="AI997" s="129"/>
      <c r="AJ997" s="1566"/>
      <c r="AK997" s="1567"/>
      <c r="AL997" s="1567"/>
      <c r="AM997" s="1567"/>
      <c r="AN997" s="1567"/>
      <c r="AO997" s="1567"/>
      <c r="AP997" s="1567"/>
      <c r="AQ997" s="156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548"/>
      <c r="E998" s="1549"/>
      <c r="F998" s="1549"/>
      <c r="G998" s="1549"/>
      <c r="H998" s="1549"/>
      <c r="I998" s="1549"/>
      <c r="J998" s="1549"/>
      <c r="K998" s="1549"/>
      <c r="L998" s="1549"/>
      <c r="M998" s="1549"/>
      <c r="N998" s="1549"/>
      <c r="O998" s="1549"/>
      <c r="P998" s="1549"/>
      <c r="Q998" s="1549"/>
      <c r="R998" s="1549"/>
      <c r="S998" s="1549"/>
      <c r="T998" s="1549"/>
      <c r="U998" s="1549"/>
      <c r="V998" s="1549"/>
      <c r="W998" s="1549"/>
      <c r="X998" s="1549"/>
      <c r="Y998" s="1549"/>
      <c r="Z998" s="1549"/>
      <c r="AA998" s="1549"/>
      <c r="AB998" s="1549"/>
      <c r="AC998" s="1549"/>
      <c r="AD998" s="1549"/>
      <c r="AE998" s="1550"/>
      <c r="AF998" s="124"/>
      <c r="AG998" s="125"/>
      <c r="AH998" s="125"/>
      <c r="AI998" s="129"/>
      <c r="AJ998" s="1566"/>
      <c r="AK998" s="1567"/>
      <c r="AL998" s="1567"/>
      <c r="AM998" s="1567"/>
      <c r="AN998" s="1567"/>
      <c r="AO998" s="1567"/>
      <c r="AP998" s="1567"/>
      <c r="AQ998" s="156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551"/>
      <c r="E999" s="1552"/>
      <c r="F999" s="1552"/>
      <c r="G999" s="1552"/>
      <c r="H999" s="1552"/>
      <c r="I999" s="1552"/>
      <c r="J999" s="1552"/>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4"/>
      <c r="AG999" s="125"/>
      <c r="AH999" s="125"/>
      <c r="AI999" s="129"/>
      <c r="AJ999" s="1569"/>
      <c r="AK999" s="1570"/>
      <c r="AL999" s="1570"/>
      <c r="AM999" s="1570"/>
      <c r="AN999" s="1570"/>
      <c r="AO999" s="1570"/>
      <c r="AP999" s="1570"/>
      <c r="AQ999" s="157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3"/>
      <c r="D1000" s="1577" t="s">
        <v>820</v>
      </c>
      <c r="E1000" s="1577"/>
      <c r="F1000" s="1577"/>
      <c r="G1000" s="1577"/>
      <c r="H1000" s="1577"/>
      <c r="I1000" s="1577"/>
      <c r="J1000" s="1577"/>
      <c r="K1000" s="1577"/>
      <c r="L1000" s="1577"/>
      <c r="M1000" s="1577"/>
      <c r="N1000" s="1577"/>
      <c r="O1000" s="1577"/>
      <c r="P1000" s="1577"/>
      <c r="Q1000" s="1577"/>
      <c r="R1000" s="1577"/>
      <c r="S1000" s="1577"/>
      <c r="T1000" s="1577"/>
      <c r="U1000" s="1577"/>
      <c r="V1000" s="1577"/>
      <c r="W1000" s="1577"/>
      <c r="X1000" s="1577"/>
      <c r="Y1000" s="1577"/>
      <c r="Z1000" s="1577"/>
      <c r="AA1000" s="1577"/>
      <c r="AB1000" s="1577"/>
      <c r="AC1000" s="1577"/>
      <c r="AD1000" s="1577"/>
      <c r="AE1000" s="1577"/>
      <c r="AF1000" s="1577"/>
      <c r="AG1000" s="1577"/>
      <c r="AH1000" s="1577"/>
      <c r="AI1000" s="1578"/>
      <c r="AJ1000" s="1579">
        <f>SUM(AJ951:AQ999)</f>
        <v>40775094</v>
      </c>
      <c r="AK1000" s="1580"/>
      <c r="AL1000" s="1580"/>
      <c r="AM1000" s="1580"/>
      <c r="AN1000" s="1580"/>
      <c r="AO1000" s="1580"/>
      <c r="AP1000" s="1580"/>
      <c r="AQ1000" s="158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015">
        <f>'Sources and Uses Budget'!S106+'Sources and Uses Budget'!T106</f>
        <v>33397830</v>
      </c>
      <c r="Y1004" s="2015"/>
      <c r="Z1004" s="2015"/>
      <c r="AA1004" s="2015"/>
      <c r="AB1004" s="2015"/>
      <c r="AC1004" s="201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009">
        <f>X1004/AJ1000</f>
        <v>0.81907426136160466</v>
      </c>
      <c r="Y1005" s="2010"/>
      <c r="Z1005" s="2010"/>
      <c r="AA1005" s="2010"/>
      <c r="AB1005" s="2010"/>
      <c r="AC1005" s="2011"/>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072"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072"/>
      <c r="F1006" s="2072"/>
      <c r="G1006" s="2072"/>
      <c r="H1006" s="2072"/>
      <c r="I1006" s="2072"/>
      <c r="J1006" s="2072"/>
      <c r="K1006" s="2072"/>
      <c r="L1006" s="2072"/>
      <c r="M1006" s="2072"/>
      <c r="N1006" s="2072"/>
      <c r="O1006" s="2072"/>
      <c r="P1006" s="2072"/>
      <c r="Q1006" s="2072"/>
      <c r="R1006" s="2072"/>
      <c r="S1006" s="2072"/>
      <c r="T1006" s="2072"/>
      <c r="U1006" s="2072"/>
      <c r="V1006" s="2072"/>
      <c r="W1006" s="2072"/>
      <c r="X1006" s="2072"/>
      <c r="Y1006" s="2072"/>
      <c r="Z1006" s="2072"/>
      <c r="AA1006" s="2072"/>
      <c r="AB1006" s="2072"/>
      <c r="AC1006" s="2072"/>
      <c r="AD1006" s="2072"/>
      <c r="AE1006" s="2072"/>
      <c r="AF1006" s="2072"/>
      <c r="AG1006" s="2072"/>
      <c r="AH1006" s="2072"/>
      <c r="AI1006" s="2072"/>
      <c r="AJ1006" s="2072"/>
      <c r="AK1006" s="2072"/>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072"/>
      <c r="E1007" s="2072"/>
      <c r="F1007" s="2072"/>
      <c r="G1007" s="2072"/>
      <c r="H1007" s="2072"/>
      <c r="I1007" s="2072"/>
      <c r="J1007" s="2072"/>
      <c r="K1007" s="2072"/>
      <c r="L1007" s="2072"/>
      <c r="M1007" s="2072"/>
      <c r="N1007" s="2072"/>
      <c r="O1007" s="2072"/>
      <c r="P1007" s="2072"/>
      <c r="Q1007" s="2072"/>
      <c r="R1007" s="2072"/>
      <c r="S1007" s="2072"/>
      <c r="T1007" s="2072"/>
      <c r="U1007" s="2072"/>
      <c r="V1007" s="2072"/>
      <c r="W1007" s="2072"/>
      <c r="X1007" s="2072"/>
      <c r="Y1007" s="2072"/>
      <c r="Z1007" s="2072"/>
      <c r="AA1007" s="2072"/>
      <c r="AB1007" s="2072"/>
      <c r="AC1007" s="2072"/>
      <c r="AD1007" s="2072"/>
      <c r="AE1007" s="2072"/>
      <c r="AF1007" s="2072"/>
      <c r="AG1007" s="2072"/>
      <c r="AH1007" s="2072"/>
      <c r="AI1007" s="2072"/>
      <c r="AJ1007" s="2072"/>
      <c r="AK1007" s="2072"/>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072"/>
      <c r="E1008" s="2072"/>
      <c r="F1008" s="2072"/>
      <c r="G1008" s="2072"/>
      <c r="H1008" s="2072"/>
      <c r="I1008" s="2072"/>
      <c r="J1008" s="2072"/>
      <c r="K1008" s="2072"/>
      <c r="L1008" s="2072"/>
      <c r="M1008" s="2072"/>
      <c r="N1008" s="2072"/>
      <c r="O1008" s="2072"/>
      <c r="P1008" s="2072"/>
      <c r="Q1008" s="2072"/>
      <c r="R1008" s="2072"/>
      <c r="S1008" s="2072"/>
      <c r="T1008" s="2072"/>
      <c r="U1008" s="2072"/>
      <c r="V1008" s="2072"/>
      <c r="W1008" s="2072"/>
      <c r="X1008" s="2072"/>
      <c r="Y1008" s="2072"/>
      <c r="Z1008" s="2072"/>
      <c r="AA1008" s="2072"/>
      <c r="AB1008" s="2072"/>
      <c r="AC1008" s="2072"/>
      <c r="AD1008" s="2072"/>
      <c r="AE1008" s="2072"/>
      <c r="AF1008" s="2072"/>
      <c r="AG1008" s="2072"/>
      <c r="AH1008" s="2072"/>
      <c r="AI1008" s="2072"/>
      <c r="AJ1008" s="2072"/>
      <c r="AK1008" s="207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012"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012"/>
      <c r="D1009" s="2012"/>
      <c r="E1009" s="2012"/>
      <c r="F1009" s="2012"/>
      <c r="G1009" s="2012"/>
      <c r="H1009" s="2012"/>
      <c r="I1009" s="2012"/>
      <c r="J1009" s="2012"/>
      <c r="K1009" s="2012"/>
      <c r="L1009" s="2012"/>
      <c r="M1009" s="2012"/>
      <c r="N1009" s="2012"/>
      <c r="O1009" s="2012"/>
      <c r="P1009" s="2012"/>
      <c r="Q1009" s="2012"/>
      <c r="R1009" s="2012"/>
      <c r="S1009" s="2012"/>
      <c r="T1009" s="2012"/>
      <c r="U1009" s="2012"/>
      <c r="V1009" s="2012"/>
      <c r="W1009" s="2012"/>
      <c r="X1009" s="2012"/>
      <c r="Y1009" s="2012"/>
      <c r="Z1009" s="2012"/>
      <c r="AA1009" s="2012"/>
      <c r="AB1009" s="2012"/>
      <c r="AC1009" s="2012"/>
      <c r="AD1009" s="2012"/>
      <c r="AE1009" s="2012"/>
      <c r="AF1009" s="2012"/>
      <c r="AG1009" s="2012"/>
      <c r="AH1009" s="2012"/>
      <c r="AI1009" s="2012"/>
      <c r="AJ1009" s="2012"/>
      <c r="AK1009" s="201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012"/>
      <c r="C1010" s="2012"/>
      <c r="D1010" s="2012"/>
      <c r="E1010" s="2012"/>
      <c r="F1010" s="2012"/>
      <c r="G1010" s="2012"/>
      <c r="H1010" s="2012"/>
      <c r="I1010" s="2012"/>
      <c r="J1010" s="2012"/>
      <c r="K1010" s="2012"/>
      <c r="L1010" s="2012"/>
      <c r="M1010" s="2012"/>
      <c r="N1010" s="2012"/>
      <c r="O1010" s="2012"/>
      <c r="P1010" s="2012"/>
      <c r="Q1010" s="2012"/>
      <c r="R1010" s="2012"/>
      <c r="S1010" s="2012"/>
      <c r="T1010" s="2012"/>
      <c r="U1010" s="2012"/>
      <c r="V1010" s="2012"/>
      <c r="W1010" s="2012"/>
      <c r="X1010" s="2012"/>
      <c r="Y1010" s="2012"/>
      <c r="Z1010" s="2012"/>
      <c r="AA1010" s="2012"/>
      <c r="AB1010" s="2012"/>
      <c r="AC1010" s="2012"/>
      <c r="AD1010" s="2012"/>
      <c r="AE1010" s="2012"/>
      <c r="AF1010" s="2012"/>
      <c r="AG1010" s="2012"/>
      <c r="AH1010" s="2012"/>
      <c r="AI1010" s="2012"/>
      <c r="AJ1010" s="2012"/>
      <c r="AK1010" s="2012"/>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012">
        <f>IF(ISNA(IF((AD973&gt;(AD951*0.15)),"(f) cannot be greater than 15% of unadjusted eligible basis.",0)),"",(IF((AD973&gt;(AD951*0.15)),"(f) cannot be greater than 15% of unadjusted eligible basis.",0)))</f>
        <v>0</v>
      </c>
      <c r="C1011" s="2012"/>
      <c r="D1011" s="2012"/>
      <c r="E1011" s="2012"/>
      <c r="F1011" s="2012"/>
      <c r="G1011" s="2012"/>
      <c r="H1011" s="2012"/>
      <c r="I1011" s="2012"/>
      <c r="J1011" s="2012"/>
      <c r="K1011" s="2012"/>
      <c r="L1011" s="2012"/>
      <c r="M1011" s="2012"/>
      <c r="N1011" s="2012"/>
      <c r="O1011" s="2012"/>
      <c r="P1011" s="2012"/>
      <c r="Q1011" s="2012"/>
      <c r="R1011" s="2012"/>
      <c r="S1011" s="2012"/>
      <c r="T1011" s="2012"/>
      <c r="U1011" s="2012"/>
      <c r="V1011" s="2012"/>
      <c r="W1011" s="2012"/>
      <c r="X1011" s="2012"/>
      <c r="Y1011" s="2012"/>
      <c r="Z1011" s="2012"/>
      <c r="AA1011" s="2012"/>
      <c r="AB1011" s="2012"/>
      <c r="AC1011" s="2012"/>
      <c r="AD1011" s="2012"/>
      <c r="AE1011" s="2012"/>
      <c r="AF1011" s="2012"/>
      <c r="AG1011" s="2012"/>
      <c r="AH1011" s="2012"/>
      <c r="AI1011" s="2012"/>
      <c r="AJ1011" s="2012"/>
      <c r="AK1011" s="2012"/>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073" t="s">
        <v>1093</v>
      </c>
      <c r="B1012" s="2073"/>
      <c r="C1012" s="2073"/>
      <c r="D1012" s="2073"/>
      <c r="E1012" s="2073"/>
      <c r="F1012" s="2073"/>
      <c r="G1012" s="2073"/>
      <c r="H1012" s="2073"/>
      <c r="I1012" s="2073"/>
      <c r="J1012" s="2073"/>
      <c r="K1012" s="2073"/>
      <c r="L1012" s="2073"/>
      <c r="M1012" s="2073"/>
      <c r="N1012" s="2073"/>
      <c r="O1012" s="2073"/>
      <c r="P1012" s="2073"/>
      <c r="Q1012" s="2073"/>
      <c r="R1012" s="2073"/>
      <c r="S1012" s="2073"/>
      <c r="T1012" s="2073"/>
      <c r="U1012" s="2073"/>
      <c r="V1012" s="2073"/>
      <c r="W1012" s="2073"/>
      <c r="X1012" s="2073"/>
      <c r="Y1012" s="2073"/>
      <c r="Z1012" s="2073"/>
      <c r="AA1012" s="2073"/>
      <c r="AB1012" s="2073"/>
      <c r="AC1012" s="2073"/>
      <c r="AD1012" s="2073"/>
      <c r="AE1012" s="2073"/>
      <c r="AF1012" s="2073"/>
      <c r="AG1012" s="2073"/>
      <c r="AH1012" s="2073"/>
      <c r="AI1012" s="2073"/>
      <c r="AJ1012" s="2073"/>
      <c r="AK1012" s="2073"/>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96" t="s">
        <v>136</v>
      </c>
      <c r="B1016" s="1696"/>
      <c r="C1016" s="17">
        <v>1</v>
      </c>
      <c r="D1016" s="1869" t="s">
        <v>1707</v>
      </c>
      <c r="E1016" s="1869"/>
      <c r="F1016" s="1869"/>
      <c r="G1016" s="1869"/>
      <c r="H1016" s="1869"/>
      <c r="I1016" s="1869"/>
      <c r="J1016" s="1869"/>
      <c r="K1016" s="1869"/>
      <c r="L1016" s="1869"/>
      <c r="M1016" s="1869"/>
      <c r="N1016" s="1869"/>
      <c r="O1016" s="1869"/>
      <c r="P1016" s="1869"/>
      <c r="Q1016" s="1869"/>
      <c r="R1016" s="1869"/>
      <c r="S1016" s="1869"/>
      <c r="T1016" s="1869"/>
      <c r="U1016" s="1869"/>
      <c r="V1016" s="1869"/>
      <c r="W1016" s="1869"/>
      <c r="X1016" s="1869"/>
      <c r="Y1016" s="1869"/>
      <c r="Z1016" s="1869"/>
      <c r="AA1016" s="1869"/>
      <c r="AB1016" s="1869"/>
      <c r="AC1016" s="1869"/>
      <c r="AD1016" s="1869"/>
      <c r="AE1016" s="1869"/>
      <c r="AF1016" s="1869"/>
      <c r="AG1016" s="1869"/>
      <c r="AH1016" s="1869"/>
      <c r="AI1016" s="1869"/>
      <c r="AJ1016" s="1869"/>
      <c r="AK1016" s="186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869"/>
      <c r="E1017" s="1869"/>
      <c r="F1017" s="1869"/>
      <c r="G1017" s="1869"/>
      <c r="H1017" s="1869"/>
      <c r="I1017" s="1869"/>
      <c r="J1017" s="1869"/>
      <c r="K1017" s="1869"/>
      <c r="L1017" s="1869"/>
      <c r="M1017" s="1869"/>
      <c r="N1017" s="1869"/>
      <c r="O1017" s="1869"/>
      <c r="P1017" s="1869"/>
      <c r="Q1017" s="1869"/>
      <c r="R1017" s="1869"/>
      <c r="S1017" s="1869"/>
      <c r="T1017" s="1869"/>
      <c r="U1017" s="1869"/>
      <c r="V1017" s="1869"/>
      <c r="W1017" s="1869"/>
      <c r="X1017" s="1869"/>
      <c r="Y1017" s="1869"/>
      <c r="Z1017" s="1869"/>
      <c r="AA1017" s="1869"/>
      <c r="AB1017" s="1869"/>
      <c r="AC1017" s="1869"/>
      <c r="AD1017" s="1869"/>
      <c r="AE1017" s="1869"/>
      <c r="AF1017" s="1869"/>
      <c r="AG1017" s="1869"/>
      <c r="AH1017" s="1869"/>
      <c r="AI1017" s="1869"/>
      <c r="AJ1017" s="1869"/>
      <c r="AK1017" s="186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869"/>
      <c r="E1018" s="1869"/>
      <c r="F1018" s="1869"/>
      <c r="G1018" s="1869"/>
      <c r="H1018" s="1869"/>
      <c r="I1018" s="1869"/>
      <c r="J1018" s="1869"/>
      <c r="K1018" s="1869"/>
      <c r="L1018" s="1869"/>
      <c r="M1018" s="1869"/>
      <c r="N1018" s="1869"/>
      <c r="O1018" s="1869"/>
      <c r="P1018" s="1869"/>
      <c r="Q1018" s="1869"/>
      <c r="R1018" s="1869"/>
      <c r="S1018" s="1869"/>
      <c r="T1018" s="1869"/>
      <c r="U1018" s="1869"/>
      <c r="V1018" s="1869"/>
      <c r="W1018" s="1869"/>
      <c r="X1018" s="1869"/>
      <c r="Y1018" s="1869"/>
      <c r="Z1018" s="1869"/>
      <c r="AA1018" s="1869"/>
      <c r="AB1018" s="1869"/>
      <c r="AC1018" s="1869"/>
      <c r="AD1018" s="1869"/>
      <c r="AE1018" s="1869"/>
      <c r="AF1018" s="1869"/>
      <c r="AG1018" s="1869"/>
      <c r="AH1018" s="1869"/>
      <c r="AI1018" s="1869"/>
      <c r="AJ1018" s="1869"/>
      <c r="AK1018" s="1869"/>
      <c r="AL1018" s="16"/>
      <c r="AM1018" s="66"/>
      <c r="AN1018" s="66"/>
      <c r="AO1018" s="30"/>
      <c r="AP1018" s="30"/>
      <c r="AQ1018" s="30"/>
      <c r="AR1018" s="30"/>
      <c r="AS1018" s="30"/>
      <c r="AT1018" s="2004"/>
      <c r="AU1018" s="2004"/>
      <c r="AV1018" s="2004"/>
      <c r="AW1018" s="2004"/>
      <c r="AX1018" s="2004"/>
      <c r="AY1018" s="2004"/>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65" customHeight="1">
      <c r="A1019" s="390"/>
      <c r="B1019" s="390"/>
      <c r="C1019" s="17"/>
      <c r="D1019" s="1869"/>
      <c r="E1019" s="1869"/>
      <c r="F1019" s="1869"/>
      <c r="G1019" s="1869"/>
      <c r="H1019" s="1869"/>
      <c r="I1019" s="1869"/>
      <c r="J1019" s="1869"/>
      <c r="K1019" s="1869"/>
      <c r="L1019" s="1869"/>
      <c r="M1019" s="1869"/>
      <c r="N1019" s="1869"/>
      <c r="O1019" s="1869"/>
      <c r="P1019" s="1869"/>
      <c r="Q1019" s="1869"/>
      <c r="R1019" s="1869"/>
      <c r="S1019" s="1869"/>
      <c r="T1019" s="1869"/>
      <c r="U1019" s="1869"/>
      <c r="V1019" s="1869"/>
      <c r="W1019" s="1869"/>
      <c r="X1019" s="1869"/>
      <c r="Y1019" s="1869"/>
      <c r="Z1019" s="1869"/>
      <c r="AA1019" s="1869"/>
      <c r="AB1019" s="1869"/>
      <c r="AC1019" s="1869"/>
      <c r="AD1019" s="1869"/>
      <c r="AE1019" s="1869"/>
      <c r="AF1019" s="1869"/>
      <c r="AG1019" s="1869"/>
      <c r="AH1019" s="1869"/>
      <c r="AI1019" s="1869"/>
      <c r="AJ1019" s="1869"/>
      <c r="AK1019" s="186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869"/>
      <c r="E1020" s="1869"/>
      <c r="F1020" s="1869"/>
      <c r="G1020" s="1869"/>
      <c r="H1020" s="1869"/>
      <c r="I1020" s="1869"/>
      <c r="J1020" s="1869"/>
      <c r="K1020" s="1869"/>
      <c r="L1020" s="1869"/>
      <c r="M1020" s="1869"/>
      <c r="N1020" s="1869"/>
      <c r="O1020" s="1869"/>
      <c r="P1020" s="1869"/>
      <c r="Q1020" s="1869"/>
      <c r="R1020" s="1869"/>
      <c r="S1020" s="1869"/>
      <c r="T1020" s="1869"/>
      <c r="U1020" s="1869"/>
      <c r="V1020" s="1869"/>
      <c r="W1020" s="1869"/>
      <c r="X1020" s="1869"/>
      <c r="Y1020" s="1869"/>
      <c r="Z1020" s="1869"/>
      <c r="AA1020" s="1869"/>
      <c r="AB1020" s="1869"/>
      <c r="AC1020" s="1869"/>
      <c r="AD1020" s="1869"/>
      <c r="AE1020" s="1869"/>
      <c r="AF1020" s="1869"/>
      <c r="AG1020" s="1869"/>
      <c r="AH1020" s="1869"/>
      <c r="AI1020" s="1869"/>
      <c r="AJ1020" s="1869"/>
      <c r="AK1020" s="186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869"/>
      <c r="E1021" s="1869"/>
      <c r="F1021" s="1869"/>
      <c r="G1021" s="1869"/>
      <c r="H1021" s="1869"/>
      <c r="I1021" s="1869"/>
      <c r="J1021" s="1869"/>
      <c r="K1021" s="1869"/>
      <c r="L1021" s="1869"/>
      <c r="M1021" s="1869"/>
      <c r="N1021" s="1869"/>
      <c r="O1021" s="1869"/>
      <c r="P1021" s="1869"/>
      <c r="Q1021" s="1869"/>
      <c r="R1021" s="1869"/>
      <c r="S1021" s="1869"/>
      <c r="T1021" s="1869"/>
      <c r="U1021" s="1869"/>
      <c r="V1021" s="1869"/>
      <c r="W1021" s="1869"/>
      <c r="X1021" s="1869"/>
      <c r="Y1021" s="1869"/>
      <c r="Z1021" s="1869"/>
      <c r="AA1021" s="1869"/>
      <c r="AB1021" s="1869"/>
      <c r="AC1021" s="1869"/>
      <c r="AD1021" s="1869"/>
      <c r="AE1021" s="1869"/>
      <c r="AF1021" s="1869"/>
      <c r="AG1021" s="1869"/>
      <c r="AH1021" s="1869"/>
      <c r="AI1021" s="1869"/>
      <c r="AJ1021" s="1869"/>
      <c r="AK1021" s="186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696" t="s">
        <v>136</v>
      </c>
      <c r="B1022" s="1696"/>
      <c r="C1022" s="17">
        <v>2</v>
      </c>
      <c r="D1022" s="1870" t="s">
        <v>1708</v>
      </c>
      <c r="E1022" s="1869"/>
      <c r="F1022" s="1869"/>
      <c r="G1022" s="1869"/>
      <c r="H1022" s="1869"/>
      <c r="I1022" s="1869"/>
      <c r="J1022" s="1869"/>
      <c r="K1022" s="1869"/>
      <c r="L1022" s="1869"/>
      <c r="M1022" s="1869"/>
      <c r="N1022" s="1869"/>
      <c r="O1022" s="1869"/>
      <c r="P1022" s="1869"/>
      <c r="Q1022" s="1869"/>
      <c r="R1022" s="1869"/>
      <c r="S1022" s="1869"/>
      <c r="T1022" s="1869"/>
      <c r="U1022" s="1869"/>
      <c r="V1022" s="1869"/>
      <c r="W1022" s="1869"/>
      <c r="X1022" s="1869"/>
      <c r="Y1022" s="1869"/>
      <c r="Z1022" s="1869"/>
      <c r="AA1022" s="1869"/>
      <c r="AB1022" s="1869"/>
      <c r="AC1022" s="1869"/>
      <c r="AD1022" s="1869"/>
      <c r="AE1022" s="1869"/>
      <c r="AF1022" s="1869"/>
      <c r="AG1022" s="1869"/>
      <c r="AH1022" s="1869"/>
      <c r="AI1022" s="1869"/>
      <c r="AJ1022" s="1869"/>
      <c r="AK1022" s="186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869"/>
      <c r="E1023" s="1869"/>
      <c r="F1023" s="1869"/>
      <c r="G1023" s="1869"/>
      <c r="H1023" s="1869"/>
      <c r="I1023" s="1869"/>
      <c r="J1023" s="1869"/>
      <c r="K1023" s="1869"/>
      <c r="L1023" s="1869"/>
      <c r="M1023" s="1869"/>
      <c r="N1023" s="1869"/>
      <c r="O1023" s="1869"/>
      <c r="P1023" s="1869"/>
      <c r="Q1023" s="1869"/>
      <c r="R1023" s="1869"/>
      <c r="S1023" s="1869"/>
      <c r="T1023" s="1869"/>
      <c r="U1023" s="1869"/>
      <c r="V1023" s="1869"/>
      <c r="W1023" s="1869"/>
      <c r="X1023" s="1869"/>
      <c r="Y1023" s="1869"/>
      <c r="Z1023" s="1869"/>
      <c r="AA1023" s="1869"/>
      <c r="AB1023" s="1869"/>
      <c r="AC1023" s="1869"/>
      <c r="AD1023" s="1869"/>
      <c r="AE1023" s="1869"/>
      <c r="AF1023" s="1869"/>
      <c r="AG1023" s="1869"/>
      <c r="AH1023" s="1869"/>
      <c r="AI1023" s="1869"/>
      <c r="AJ1023" s="1869"/>
      <c r="AK1023" s="186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869"/>
      <c r="E1024" s="1869"/>
      <c r="F1024" s="1869"/>
      <c r="G1024" s="1869"/>
      <c r="H1024" s="1869"/>
      <c r="I1024" s="1869"/>
      <c r="J1024" s="1869"/>
      <c r="K1024" s="1869"/>
      <c r="L1024" s="1869"/>
      <c r="M1024" s="1869"/>
      <c r="N1024" s="1869"/>
      <c r="O1024" s="1869"/>
      <c r="P1024" s="1869"/>
      <c r="Q1024" s="1869"/>
      <c r="R1024" s="1869"/>
      <c r="S1024" s="1869"/>
      <c r="T1024" s="1869"/>
      <c r="U1024" s="1869"/>
      <c r="V1024" s="1869"/>
      <c r="W1024" s="1869"/>
      <c r="X1024" s="1869"/>
      <c r="Y1024" s="1869"/>
      <c r="Z1024" s="1869"/>
      <c r="AA1024" s="1869"/>
      <c r="AB1024" s="1869"/>
      <c r="AC1024" s="1869"/>
      <c r="AD1024" s="1869"/>
      <c r="AE1024" s="1869"/>
      <c r="AF1024" s="1869"/>
      <c r="AG1024" s="1869"/>
      <c r="AH1024" s="1869"/>
      <c r="AI1024" s="1869"/>
      <c r="AJ1024" s="1869"/>
      <c r="AK1024" s="186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65" customHeight="1">
      <c r="A1025" s="390"/>
      <c r="B1025" s="390"/>
      <c r="C1025" s="17"/>
      <c r="D1025" s="1869"/>
      <c r="E1025" s="1869"/>
      <c r="F1025" s="1869"/>
      <c r="G1025" s="1869"/>
      <c r="H1025" s="1869"/>
      <c r="I1025" s="1869"/>
      <c r="J1025" s="1869"/>
      <c r="K1025" s="1869"/>
      <c r="L1025" s="1869"/>
      <c r="M1025" s="1869"/>
      <c r="N1025" s="1869"/>
      <c r="O1025" s="1869"/>
      <c r="P1025" s="1869"/>
      <c r="Q1025" s="1869"/>
      <c r="R1025" s="1869"/>
      <c r="S1025" s="1869"/>
      <c r="T1025" s="1869"/>
      <c r="U1025" s="1869"/>
      <c r="V1025" s="1869"/>
      <c r="W1025" s="1869"/>
      <c r="X1025" s="1869"/>
      <c r="Y1025" s="1869"/>
      <c r="Z1025" s="1869"/>
      <c r="AA1025" s="1869"/>
      <c r="AB1025" s="1869"/>
      <c r="AC1025" s="1869"/>
      <c r="AD1025" s="1869"/>
      <c r="AE1025" s="1869"/>
      <c r="AF1025" s="1869"/>
      <c r="AG1025" s="1869"/>
      <c r="AH1025" s="1869"/>
      <c r="AI1025" s="1869"/>
      <c r="AJ1025" s="1869"/>
      <c r="AK1025" s="186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869"/>
      <c r="E1026" s="1869"/>
      <c r="F1026" s="1869"/>
      <c r="G1026" s="1869"/>
      <c r="H1026" s="1869"/>
      <c r="I1026" s="1869"/>
      <c r="J1026" s="1869"/>
      <c r="K1026" s="1869"/>
      <c r="L1026" s="1869"/>
      <c r="M1026" s="1869"/>
      <c r="N1026" s="1869"/>
      <c r="O1026" s="1869"/>
      <c r="P1026" s="1869"/>
      <c r="Q1026" s="1869"/>
      <c r="R1026" s="1869"/>
      <c r="S1026" s="1869"/>
      <c r="T1026" s="1869"/>
      <c r="U1026" s="1869"/>
      <c r="V1026" s="1869"/>
      <c r="W1026" s="1869"/>
      <c r="X1026" s="1869"/>
      <c r="Y1026" s="1869"/>
      <c r="Z1026" s="1869"/>
      <c r="AA1026" s="1869"/>
      <c r="AB1026" s="1869"/>
      <c r="AC1026" s="1869"/>
      <c r="AD1026" s="1869"/>
      <c r="AE1026" s="1869"/>
      <c r="AF1026" s="1869"/>
      <c r="AG1026" s="1869"/>
      <c r="AH1026" s="1869"/>
      <c r="AI1026" s="1869"/>
      <c r="AJ1026" s="1869"/>
      <c r="AK1026" s="186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869"/>
      <c r="E1027" s="1869"/>
      <c r="F1027" s="1869"/>
      <c r="G1027" s="1869"/>
      <c r="H1027" s="1869"/>
      <c r="I1027" s="1869"/>
      <c r="J1027" s="1869"/>
      <c r="K1027" s="1869"/>
      <c r="L1027" s="1869"/>
      <c r="M1027" s="1869"/>
      <c r="N1027" s="1869"/>
      <c r="O1027" s="1869"/>
      <c r="P1027" s="1869"/>
      <c r="Q1027" s="1869"/>
      <c r="R1027" s="1869"/>
      <c r="S1027" s="1869"/>
      <c r="T1027" s="1869"/>
      <c r="U1027" s="1869"/>
      <c r="V1027" s="1869"/>
      <c r="W1027" s="1869"/>
      <c r="X1027" s="1869"/>
      <c r="Y1027" s="1869"/>
      <c r="Z1027" s="1869"/>
      <c r="AA1027" s="1869"/>
      <c r="AB1027" s="1869"/>
      <c r="AC1027" s="1869"/>
      <c r="AD1027" s="1869"/>
      <c r="AE1027" s="1869"/>
      <c r="AF1027" s="1869"/>
      <c r="AG1027" s="1869"/>
      <c r="AH1027" s="1869"/>
      <c r="AI1027" s="1869"/>
      <c r="AJ1027" s="1869"/>
      <c r="AK1027" s="186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96" t="s">
        <v>136</v>
      </c>
      <c r="B1028" s="1696"/>
      <c r="C1028" s="17">
        <v>3</v>
      </c>
      <c r="D1028" s="1870" t="s">
        <v>2162</v>
      </c>
      <c r="E1028" s="1869"/>
      <c r="F1028" s="1869"/>
      <c r="G1028" s="1869"/>
      <c r="H1028" s="1869"/>
      <c r="I1028" s="1869"/>
      <c r="J1028" s="1869"/>
      <c r="K1028" s="1869"/>
      <c r="L1028" s="1869"/>
      <c r="M1028" s="1869"/>
      <c r="N1028" s="1869"/>
      <c r="O1028" s="1869"/>
      <c r="P1028" s="1869"/>
      <c r="Q1028" s="1869"/>
      <c r="R1028" s="1869"/>
      <c r="S1028" s="1869"/>
      <c r="T1028" s="1869"/>
      <c r="U1028" s="1869"/>
      <c r="V1028" s="1869"/>
      <c r="W1028" s="1869"/>
      <c r="X1028" s="1869"/>
      <c r="Y1028" s="1869"/>
      <c r="Z1028" s="1869"/>
      <c r="AA1028" s="1869"/>
      <c r="AB1028" s="1869"/>
      <c r="AC1028" s="1869"/>
      <c r="AD1028" s="1869"/>
      <c r="AE1028" s="1869"/>
      <c r="AF1028" s="1869"/>
      <c r="AG1028" s="1869"/>
      <c r="AH1028" s="1869"/>
      <c r="AI1028" s="1869"/>
      <c r="AJ1028" s="1869"/>
      <c r="AK1028" s="186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869"/>
      <c r="E1029" s="1869"/>
      <c r="F1029" s="1869"/>
      <c r="G1029" s="1869"/>
      <c r="H1029" s="1869"/>
      <c r="I1029" s="1869"/>
      <c r="J1029" s="1869"/>
      <c r="K1029" s="1869"/>
      <c r="L1029" s="1869"/>
      <c r="M1029" s="1869"/>
      <c r="N1029" s="1869"/>
      <c r="O1029" s="1869"/>
      <c r="P1029" s="1869"/>
      <c r="Q1029" s="1869"/>
      <c r="R1029" s="1869"/>
      <c r="S1029" s="1869"/>
      <c r="T1029" s="1869"/>
      <c r="U1029" s="1869"/>
      <c r="V1029" s="1869"/>
      <c r="W1029" s="1869"/>
      <c r="X1029" s="1869"/>
      <c r="Y1029" s="1869"/>
      <c r="Z1029" s="1869"/>
      <c r="AA1029" s="1869"/>
      <c r="AB1029" s="1869"/>
      <c r="AC1029" s="1869"/>
      <c r="AD1029" s="1869"/>
      <c r="AE1029" s="1869"/>
      <c r="AF1029" s="1869"/>
      <c r="AG1029" s="1869"/>
      <c r="AH1029" s="1869"/>
      <c r="AI1029" s="1869"/>
      <c r="AJ1029" s="1869"/>
      <c r="AK1029" s="186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869"/>
      <c r="E1030" s="1869"/>
      <c r="F1030" s="1869"/>
      <c r="G1030" s="1869"/>
      <c r="H1030" s="1869"/>
      <c r="I1030" s="1869"/>
      <c r="J1030" s="1869"/>
      <c r="K1030" s="1869"/>
      <c r="L1030" s="1869"/>
      <c r="M1030" s="1869"/>
      <c r="N1030" s="1869"/>
      <c r="O1030" s="1869"/>
      <c r="P1030" s="1869"/>
      <c r="Q1030" s="1869"/>
      <c r="R1030" s="1869"/>
      <c r="S1030" s="1869"/>
      <c r="T1030" s="1869"/>
      <c r="U1030" s="1869"/>
      <c r="V1030" s="1869"/>
      <c r="W1030" s="1869"/>
      <c r="X1030" s="1869"/>
      <c r="Y1030" s="1869"/>
      <c r="Z1030" s="1869"/>
      <c r="AA1030" s="1869"/>
      <c r="AB1030" s="1869"/>
      <c r="AC1030" s="1869"/>
      <c r="AD1030" s="1869"/>
      <c r="AE1030" s="1869"/>
      <c r="AF1030" s="1869"/>
      <c r="AG1030" s="1869"/>
      <c r="AH1030" s="1869"/>
      <c r="AI1030" s="1869"/>
      <c r="AJ1030" s="1869"/>
      <c r="AK1030" s="186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869"/>
      <c r="E1031" s="1869"/>
      <c r="F1031" s="1869"/>
      <c r="G1031" s="1869"/>
      <c r="H1031" s="1869"/>
      <c r="I1031" s="1869"/>
      <c r="J1031" s="1869"/>
      <c r="K1031" s="1869"/>
      <c r="L1031" s="1869"/>
      <c r="M1031" s="1869"/>
      <c r="N1031" s="1869"/>
      <c r="O1031" s="1869"/>
      <c r="P1031" s="1869"/>
      <c r="Q1031" s="1869"/>
      <c r="R1031" s="1869"/>
      <c r="S1031" s="1869"/>
      <c r="T1031" s="1869"/>
      <c r="U1031" s="1869"/>
      <c r="V1031" s="1869"/>
      <c r="W1031" s="1869"/>
      <c r="X1031" s="1869"/>
      <c r="Y1031" s="1869"/>
      <c r="Z1031" s="1869"/>
      <c r="AA1031" s="1869"/>
      <c r="AB1031" s="1869"/>
      <c r="AC1031" s="1869"/>
      <c r="AD1031" s="1869"/>
      <c r="AE1031" s="1869"/>
      <c r="AF1031" s="1869"/>
      <c r="AG1031" s="1869"/>
      <c r="AH1031" s="1869"/>
      <c r="AI1031" s="1869"/>
      <c r="AJ1031" s="1869"/>
      <c r="AK1031" s="186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869"/>
      <c r="E1032" s="1869"/>
      <c r="F1032" s="1869"/>
      <c r="G1032" s="1869"/>
      <c r="H1032" s="1869"/>
      <c r="I1032" s="1869"/>
      <c r="J1032" s="1869"/>
      <c r="K1032" s="1869"/>
      <c r="L1032" s="1869"/>
      <c r="M1032" s="1869"/>
      <c r="N1032" s="1869"/>
      <c r="O1032" s="1869"/>
      <c r="P1032" s="1869"/>
      <c r="Q1032" s="1869"/>
      <c r="R1032" s="1869"/>
      <c r="S1032" s="1869"/>
      <c r="T1032" s="1869"/>
      <c r="U1032" s="1869"/>
      <c r="V1032" s="1869"/>
      <c r="W1032" s="1869"/>
      <c r="X1032" s="1869"/>
      <c r="Y1032" s="1869"/>
      <c r="Z1032" s="1869"/>
      <c r="AA1032" s="1869"/>
      <c r="AB1032" s="1869"/>
      <c r="AC1032" s="1869"/>
      <c r="AD1032" s="1869"/>
      <c r="AE1032" s="1869"/>
      <c r="AF1032" s="1869"/>
      <c r="AG1032" s="1869"/>
      <c r="AH1032" s="1869"/>
      <c r="AI1032" s="1869"/>
      <c r="AJ1032" s="1869"/>
      <c r="AK1032" s="186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869"/>
      <c r="E1033" s="1869"/>
      <c r="F1033" s="1869"/>
      <c r="G1033" s="1869"/>
      <c r="H1033" s="1869"/>
      <c r="I1033" s="1869"/>
      <c r="J1033" s="1869"/>
      <c r="K1033" s="1869"/>
      <c r="L1033" s="1869"/>
      <c r="M1033" s="1869"/>
      <c r="N1033" s="1869"/>
      <c r="O1033" s="1869"/>
      <c r="P1033" s="1869"/>
      <c r="Q1033" s="1869"/>
      <c r="R1033" s="1869"/>
      <c r="S1033" s="1869"/>
      <c r="T1033" s="1869"/>
      <c r="U1033" s="1869"/>
      <c r="V1033" s="1869"/>
      <c r="W1033" s="1869"/>
      <c r="X1033" s="1869"/>
      <c r="Y1033" s="1869"/>
      <c r="Z1033" s="1869"/>
      <c r="AA1033" s="1869"/>
      <c r="AB1033" s="1869"/>
      <c r="AC1033" s="1869"/>
      <c r="AD1033" s="1869"/>
      <c r="AE1033" s="1869"/>
      <c r="AF1033" s="1869"/>
      <c r="AG1033" s="1869"/>
      <c r="AH1033" s="1869"/>
      <c r="AI1033" s="1869"/>
      <c r="AJ1033" s="1869"/>
      <c r="AK1033" s="186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96" t="s">
        <v>136</v>
      </c>
      <c r="B1034" s="1696"/>
      <c r="C1034" s="17">
        <v>4</v>
      </c>
      <c r="D1034" s="1869" t="s">
        <v>1709</v>
      </c>
      <c r="E1034" s="1869"/>
      <c r="F1034" s="1869"/>
      <c r="G1034" s="1869"/>
      <c r="H1034" s="1869"/>
      <c r="I1034" s="1869"/>
      <c r="J1034" s="1869"/>
      <c r="K1034" s="1869"/>
      <c r="L1034" s="1869"/>
      <c r="M1034" s="1869"/>
      <c r="N1034" s="1869"/>
      <c r="O1034" s="1869"/>
      <c r="P1034" s="1869"/>
      <c r="Q1034" s="1869"/>
      <c r="R1034" s="1869"/>
      <c r="S1034" s="1869"/>
      <c r="T1034" s="1869"/>
      <c r="U1034" s="1869"/>
      <c r="V1034" s="1869"/>
      <c r="W1034" s="1869"/>
      <c r="X1034" s="1869"/>
      <c r="Y1034" s="1869"/>
      <c r="Z1034" s="1869"/>
      <c r="AA1034" s="1869"/>
      <c r="AB1034" s="1869"/>
      <c r="AC1034" s="1869"/>
      <c r="AD1034" s="1869"/>
      <c r="AE1034" s="1869"/>
      <c r="AF1034" s="1869"/>
      <c r="AG1034" s="1869"/>
      <c r="AH1034" s="1869"/>
      <c r="AI1034" s="1869"/>
      <c r="AJ1034" s="1869"/>
      <c r="AK1034" s="186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869"/>
      <c r="E1035" s="1869"/>
      <c r="F1035" s="1869"/>
      <c r="G1035" s="1869"/>
      <c r="H1035" s="1869"/>
      <c r="I1035" s="1869"/>
      <c r="J1035" s="1869"/>
      <c r="K1035" s="1869"/>
      <c r="L1035" s="1869"/>
      <c r="M1035" s="1869"/>
      <c r="N1035" s="1869"/>
      <c r="O1035" s="1869"/>
      <c r="P1035" s="1869"/>
      <c r="Q1035" s="1869"/>
      <c r="R1035" s="1869"/>
      <c r="S1035" s="1869"/>
      <c r="T1035" s="1869"/>
      <c r="U1035" s="1869"/>
      <c r="V1035" s="1869"/>
      <c r="W1035" s="1869"/>
      <c r="X1035" s="1869"/>
      <c r="Y1035" s="1869"/>
      <c r="Z1035" s="1869"/>
      <c r="AA1035" s="1869"/>
      <c r="AB1035" s="1869"/>
      <c r="AC1035" s="1869"/>
      <c r="AD1035" s="1869"/>
      <c r="AE1035" s="1869"/>
      <c r="AF1035" s="1869"/>
      <c r="AG1035" s="1869"/>
      <c r="AH1035" s="1869"/>
      <c r="AI1035" s="1869"/>
      <c r="AJ1035" s="1869"/>
      <c r="AK1035" s="186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869"/>
      <c r="E1036" s="1869"/>
      <c r="F1036" s="1869"/>
      <c r="G1036" s="1869"/>
      <c r="H1036" s="1869"/>
      <c r="I1036" s="1869"/>
      <c r="J1036" s="1869"/>
      <c r="K1036" s="1869"/>
      <c r="L1036" s="1869"/>
      <c r="M1036" s="1869"/>
      <c r="N1036" s="1869"/>
      <c r="O1036" s="1869"/>
      <c r="P1036" s="1869"/>
      <c r="Q1036" s="1869"/>
      <c r="R1036" s="1869"/>
      <c r="S1036" s="1869"/>
      <c r="T1036" s="1869"/>
      <c r="U1036" s="1869"/>
      <c r="V1036" s="1869"/>
      <c r="W1036" s="1869"/>
      <c r="X1036" s="1869"/>
      <c r="Y1036" s="1869"/>
      <c r="Z1036" s="1869"/>
      <c r="AA1036" s="1869"/>
      <c r="AB1036" s="1869"/>
      <c r="AC1036" s="1869"/>
      <c r="AD1036" s="1869"/>
      <c r="AE1036" s="1869"/>
      <c r="AF1036" s="1869"/>
      <c r="AG1036" s="1869"/>
      <c r="AH1036" s="1869"/>
      <c r="AI1036" s="1869"/>
      <c r="AJ1036" s="1869"/>
      <c r="AK1036" s="186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696" t="s">
        <v>136</v>
      </c>
      <c r="B1037" s="1696"/>
      <c r="C1037" s="17">
        <v>5</v>
      </c>
      <c r="D1037" s="1870" t="s">
        <v>1943</v>
      </c>
      <c r="E1037" s="1869"/>
      <c r="F1037" s="1869"/>
      <c r="G1037" s="1869"/>
      <c r="H1037" s="1869"/>
      <c r="I1037" s="1869"/>
      <c r="J1037" s="1869"/>
      <c r="K1037" s="1869"/>
      <c r="L1037" s="1869"/>
      <c r="M1037" s="1869"/>
      <c r="N1037" s="1869"/>
      <c r="O1037" s="1869"/>
      <c r="P1037" s="1869"/>
      <c r="Q1037" s="1869"/>
      <c r="R1037" s="1869"/>
      <c r="S1037" s="1869"/>
      <c r="T1037" s="1869"/>
      <c r="U1037" s="1869"/>
      <c r="V1037" s="1869"/>
      <c r="W1037" s="1869"/>
      <c r="X1037" s="1869"/>
      <c r="Y1037" s="1869"/>
      <c r="Z1037" s="1869"/>
      <c r="AA1037" s="1869"/>
      <c r="AB1037" s="1869"/>
      <c r="AC1037" s="1869"/>
      <c r="AD1037" s="1869"/>
      <c r="AE1037" s="1869"/>
      <c r="AF1037" s="1869"/>
      <c r="AG1037" s="1869"/>
      <c r="AH1037" s="1869"/>
      <c r="AI1037" s="1869"/>
      <c r="AJ1037" s="1869"/>
      <c r="AK1037" s="186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869"/>
      <c r="E1038" s="1869"/>
      <c r="F1038" s="1869"/>
      <c r="G1038" s="1869"/>
      <c r="H1038" s="1869"/>
      <c r="I1038" s="1869"/>
      <c r="J1038" s="1869"/>
      <c r="K1038" s="1869"/>
      <c r="L1038" s="1869"/>
      <c r="M1038" s="1869"/>
      <c r="N1038" s="1869"/>
      <c r="O1038" s="1869"/>
      <c r="P1038" s="1869"/>
      <c r="Q1038" s="1869"/>
      <c r="R1038" s="1869"/>
      <c r="S1038" s="1869"/>
      <c r="T1038" s="1869"/>
      <c r="U1038" s="1869"/>
      <c r="V1038" s="1869"/>
      <c r="W1038" s="1869"/>
      <c r="X1038" s="1869"/>
      <c r="Y1038" s="1869"/>
      <c r="Z1038" s="1869"/>
      <c r="AA1038" s="1869"/>
      <c r="AB1038" s="1869"/>
      <c r="AC1038" s="1869"/>
      <c r="AD1038" s="1869"/>
      <c r="AE1038" s="1869"/>
      <c r="AF1038" s="1869"/>
      <c r="AG1038" s="1869"/>
      <c r="AH1038" s="1869"/>
      <c r="AI1038" s="1869"/>
      <c r="AJ1038" s="1869"/>
      <c r="AK1038" s="186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869"/>
      <c r="E1039" s="1869"/>
      <c r="F1039" s="1869"/>
      <c r="G1039" s="1869"/>
      <c r="H1039" s="1869"/>
      <c r="I1039" s="1869"/>
      <c r="J1039" s="1869"/>
      <c r="K1039" s="1869"/>
      <c r="L1039" s="1869"/>
      <c r="M1039" s="1869"/>
      <c r="N1039" s="1869"/>
      <c r="O1039" s="1869"/>
      <c r="P1039" s="1869"/>
      <c r="Q1039" s="1869"/>
      <c r="R1039" s="1869"/>
      <c r="S1039" s="1869"/>
      <c r="T1039" s="1869"/>
      <c r="U1039" s="1869"/>
      <c r="V1039" s="1869"/>
      <c r="W1039" s="1869"/>
      <c r="X1039" s="1869"/>
      <c r="Y1039" s="1869"/>
      <c r="Z1039" s="1869"/>
      <c r="AA1039" s="1869"/>
      <c r="AB1039" s="1869"/>
      <c r="AC1039" s="1869"/>
      <c r="AD1039" s="1869"/>
      <c r="AE1039" s="1869"/>
      <c r="AF1039" s="1869"/>
      <c r="AG1039" s="1869"/>
      <c r="AH1039" s="1869"/>
      <c r="AI1039" s="1869"/>
      <c r="AJ1039" s="1869"/>
      <c r="AK1039" s="186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869"/>
      <c r="E1040" s="1869"/>
      <c r="F1040" s="1869"/>
      <c r="G1040" s="1869"/>
      <c r="H1040" s="1869"/>
      <c r="I1040" s="1869"/>
      <c r="J1040" s="1869"/>
      <c r="K1040" s="1869"/>
      <c r="L1040" s="1869"/>
      <c r="M1040" s="1869"/>
      <c r="N1040" s="1869"/>
      <c r="O1040" s="1869"/>
      <c r="P1040" s="1869"/>
      <c r="Q1040" s="1869"/>
      <c r="R1040" s="1869"/>
      <c r="S1040" s="1869"/>
      <c r="T1040" s="1869"/>
      <c r="U1040" s="1869"/>
      <c r="V1040" s="1869"/>
      <c r="W1040" s="1869"/>
      <c r="X1040" s="1869"/>
      <c r="Y1040" s="1869"/>
      <c r="Z1040" s="1869"/>
      <c r="AA1040" s="1869"/>
      <c r="AB1040" s="1869"/>
      <c r="AC1040" s="1869"/>
      <c r="AD1040" s="1869"/>
      <c r="AE1040" s="1869"/>
      <c r="AF1040" s="1869"/>
      <c r="AG1040" s="1869"/>
      <c r="AH1040" s="1869"/>
      <c r="AI1040" s="1869"/>
      <c r="AJ1040" s="1869"/>
      <c r="AK1040" s="186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869"/>
      <c r="E1041" s="1869"/>
      <c r="F1041" s="1869"/>
      <c r="G1041" s="1869"/>
      <c r="H1041" s="1869"/>
      <c r="I1041" s="1869"/>
      <c r="J1041" s="1869"/>
      <c r="K1041" s="1869"/>
      <c r="L1041" s="1869"/>
      <c r="M1041" s="1869"/>
      <c r="N1041" s="1869"/>
      <c r="O1041" s="1869"/>
      <c r="P1041" s="1869"/>
      <c r="Q1041" s="1869"/>
      <c r="R1041" s="1869"/>
      <c r="S1041" s="1869"/>
      <c r="T1041" s="1869"/>
      <c r="U1041" s="1869"/>
      <c r="V1041" s="1869"/>
      <c r="W1041" s="1869"/>
      <c r="X1041" s="1869"/>
      <c r="Y1041" s="1869"/>
      <c r="Z1041" s="1869"/>
      <c r="AA1041" s="1869"/>
      <c r="AB1041" s="1869"/>
      <c r="AC1041" s="1869"/>
      <c r="AD1041" s="1869"/>
      <c r="AE1041" s="1869"/>
      <c r="AF1041" s="1869"/>
      <c r="AG1041" s="1869"/>
      <c r="AH1041" s="1869"/>
      <c r="AI1041" s="1869"/>
      <c r="AJ1041" s="1869"/>
      <c r="AK1041" s="186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96" t="s">
        <v>136</v>
      </c>
      <c r="B1042" s="1696"/>
      <c r="C1042" s="17">
        <v>6</v>
      </c>
      <c r="D1042" s="1869" t="s">
        <v>1710</v>
      </c>
      <c r="E1042" s="1869"/>
      <c r="F1042" s="1869"/>
      <c r="G1042" s="1869"/>
      <c r="H1042" s="1869"/>
      <c r="I1042" s="1869"/>
      <c r="J1042" s="1869"/>
      <c r="K1042" s="1869"/>
      <c r="L1042" s="1869"/>
      <c r="M1042" s="1869"/>
      <c r="N1042" s="1869"/>
      <c r="O1042" s="1869"/>
      <c r="P1042" s="1869"/>
      <c r="Q1042" s="1869"/>
      <c r="R1042" s="1869"/>
      <c r="S1042" s="1869"/>
      <c r="T1042" s="1869"/>
      <c r="U1042" s="1869"/>
      <c r="V1042" s="1869"/>
      <c r="W1042" s="1869"/>
      <c r="X1042" s="1869"/>
      <c r="Y1042" s="1869"/>
      <c r="Z1042" s="1869"/>
      <c r="AA1042" s="1869"/>
      <c r="AB1042" s="1869"/>
      <c r="AC1042" s="1869"/>
      <c r="AD1042" s="1869"/>
      <c r="AE1042" s="1869"/>
      <c r="AF1042" s="1869"/>
      <c r="AG1042" s="1869"/>
      <c r="AH1042" s="1869"/>
      <c r="AI1042" s="1869"/>
      <c r="AJ1042" s="1869"/>
      <c r="AK1042" s="186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869"/>
      <c r="E1043" s="1869"/>
      <c r="F1043" s="1869"/>
      <c r="G1043" s="1869"/>
      <c r="H1043" s="1869"/>
      <c r="I1043" s="1869"/>
      <c r="J1043" s="1869"/>
      <c r="K1043" s="1869"/>
      <c r="L1043" s="1869"/>
      <c r="M1043" s="1869"/>
      <c r="N1043" s="1869"/>
      <c r="O1043" s="1869"/>
      <c r="P1043" s="1869"/>
      <c r="Q1043" s="1869"/>
      <c r="R1043" s="1869"/>
      <c r="S1043" s="1869"/>
      <c r="T1043" s="1869"/>
      <c r="U1043" s="1869"/>
      <c r="V1043" s="1869"/>
      <c r="W1043" s="1869"/>
      <c r="X1043" s="1869"/>
      <c r="Y1043" s="1869"/>
      <c r="Z1043" s="1869"/>
      <c r="AA1043" s="1869"/>
      <c r="AB1043" s="1869"/>
      <c r="AC1043" s="1869"/>
      <c r="AD1043" s="1869"/>
      <c r="AE1043" s="1869"/>
      <c r="AF1043" s="1869"/>
      <c r="AG1043" s="1869"/>
      <c r="AH1043" s="1869"/>
      <c r="AI1043" s="1869"/>
      <c r="AJ1043" s="1869"/>
      <c r="AK1043" s="186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869"/>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96" t="s">
        <v>136</v>
      </c>
      <c r="B1045" s="1696"/>
      <c r="C1045" s="559">
        <v>7</v>
      </c>
      <c r="D1045" s="1869" t="s">
        <v>1712</v>
      </c>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96" t="s">
        <v>136</v>
      </c>
      <c r="B1049" s="1696"/>
      <c r="C1049" s="559">
        <v>8</v>
      </c>
      <c r="D1049" s="1870" t="s">
        <v>1989</v>
      </c>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6"/>
      <c r="CE1049" s="1388"/>
    </row>
    <row r="1050" spans="1:97" ht="12.75" customHeight="1">
      <c r="A1050" s="1088"/>
      <c r="B1050" s="1088"/>
      <c r="C1050" s="559"/>
      <c r="D1050" s="1869"/>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row>
    <row r="1051" spans="1:97" ht="12.75" customHeight="1">
      <c r="A1051" s="390"/>
      <c r="B1051" s="390"/>
      <c r="C1051" s="559"/>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row>
    <row r="1052" spans="1:97" ht="12.75" customHeight="1">
      <c r="A1052" s="76"/>
      <c r="B1052" s="80"/>
      <c r="C1052" s="559"/>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row>
    <row r="1053" spans="1:97" ht="12.75" customHeight="1">
      <c r="A1053" s="1696" t="s">
        <v>136</v>
      </c>
      <c r="B1053" s="1696"/>
      <c r="C1053" s="559">
        <v>9</v>
      </c>
      <c r="D1053" s="1869" t="s">
        <v>1711</v>
      </c>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row>
    <row r="1054" spans="1:97" ht="12.75" hidden="1" customHeight="1">
      <c r="A1054" s="76"/>
      <c r="B1054" s="80"/>
      <c r="C1054" s="559"/>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row>
    <row r="1055" spans="1:97" ht="12.75" hidden="1" customHeight="1">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1" priority="2" stopIfTrue="1" operator="equal">
      <formula>"Please Enter Amount:"</formula>
    </cfRule>
  </conditionalFormatting>
  <conditionalFormatting sqref="B1011 B1009">
    <cfRule type="cellIs" dxfId="140" priority="7" stopIfTrue="1" operator="equal">
      <formula>#N/A</formula>
    </cfRule>
  </conditionalFormatting>
  <conditionalFormatting sqref="AG434:AJ434">
    <cfRule type="expression" dxfId="139" priority="9" stopIfTrue="1">
      <formula>"iserror(d31)"</formula>
    </cfRule>
  </conditionalFormatting>
  <conditionalFormatting sqref="AF976">
    <cfRule type="cellIs" dxfId="138" priority="3" stopIfTrue="1" operator="equal">
      <formula>"Please Enter Amount:"</formula>
    </cfRule>
  </conditionalFormatting>
  <conditionalFormatting sqref="AF981">
    <cfRule type="cellIs" dxfId="137"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F3" sqref="F3"/>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2163" t="s">
        <v>2313</v>
      </c>
      <c r="B2" s="2163"/>
      <c r="C2" s="2164"/>
      <c r="D2" s="2164"/>
      <c r="E2" s="2164"/>
      <c r="F2" s="2164"/>
      <c r="G2" s="2164"/>
      <c r="I2" s="2" t="s">
        <v>86</v>
      </c>
    </row>
    <row r="3" spans="1:9" ht="13.2">
      <c r="A3" s="298"/>
      <c r="B3" s="298"/>
      <c r="C3" s="13"/>
      <c r="D3" s="13"/>
      <c r="E3" s="13"/>
      <c r="F3" s="13"/>
      <c r="G3" s="709"/>
      <c r="I3" s="329" t="s">
        <v>1550</v>
      </c>
    </row>
    <row r="4" spans="1:9" ht="13.2">
      <c r="A4" s="2165" t="s">
        <v>1157</v>
      </c>
      <c r="B4" s="2165"/>
      <c r="C4" s="2166"/>
      <c r="D4" s="2166"/>
      <c r="E4" s="2166"/>
      <c r="F4" s="2166"/>
      <c r="G4" s="2166"/>
      <c r="I4" s="329" t="s">
        <v>1533</v>
      </c>
    </row>
    <row r="5" spans="1:9" ht="13.2">
      <c r="A5" s="2165" t="s">
        <v>1158</v>
      </c>
      <c r="B5" s="2165"/>
      <c r="C5" s="2166"/>
      <c r="D5" s="2166"/>
      <c r="E5" s="2166"/>
      <c r="F5" s="2166"/>
      <c r="G5" s="2166"/>
      <c r="I5" s="2" t="s">
        <v>136</v>
      </c>
    </row>
    <row r="6" spans="1:9" ht="13.65" customHeight="1">
      <c r="A6" s="14"/>
      <c r="B6" s="14"/>
      <c r="C6" s="14"/>
      <c r="D6" s="282"/>
      <c r="E6" s="282"/>
      <c r="F6" s="282"/>
    </row>
    <row r="7" spans="1:9" ht="13.2">
      <c r="A7" s="2167" t="s">
        <v>1588</v>
      </c>
      <c r="B7" s="2167"/>
      <c r="C7" s="2168"/>
      <c r="D7" s="2168"/>
      <c r="E7" s="2168"/>
      <c r="F7" s="2168"/>
      <c r="G7" s="2168"/>
    </row>
    <row r="8" spans="1:9" ht="13.2">
      <c r="A8" s="2167" t="s">
        <v>1589</v>
      </c>
      <c r="B8" s="2167"/>
      <c r="C8" s="2168"/>
      <c r="D8" s="2168"/>
      <c r="E8" s="2168"/>
      <c r="F8" s="2168"/>
      <c r="G8" s="2168"/>
    </row>
    <row r="9" spans="1:9" ht="13.2">
      <c r="A9" s="301"/>
      <c r="B9" s="301"/>
      <c r="C9" s="298"/>
      <c r="D9" s="298"/>
      <c r="E9" s="298"/>
      <c r="F9" s="298"/>
      <c r="G9" s="406"/>
    </row>
    <row r="10" spans="1:9" ht="13.2">
      <c r="A10" s="2169" t="s">
        <v>1739</v>
      </c>
      <c r="B10" s="2169"/>
      <c r="C10" s="2169"/>
      <c r="D10" s="2169"/>
      <c r="E10" s="2169"/>
      <c r="F10" s="2169"/>
      <c r="G10" s="2169"/>
    </row>
    <row r="11" spans="1:9" ht="13.2">
      <c r="A11" s="414"/>
      <c r="B11" s="414"/>
      <c r="C11" s="14"/>
      <c r="D11" s="282"/>
      <c r="E11" s="282"/>
      <c r="F11" s="282"/>
    </row>
    <row r="12" spans="1:9" ht="13.65" customHeight="1">
      <c r="A12" s="140"/>
      <c r="B12" s="140"/>
      <c r="C12" s="298"/>
      <c r="D12" s="2170" t="s">
        <v>1738</v>
      </c>
      <c r="E12" s="2170"/>
      <c r="F12" s="2170"/>
      <c r="G12" s="951"/>
    </row>
    <row r="13" spans="1:9" ht="13.2">
      <c r="A13" s="140"/>
      <c r="B13" s="140"/>
      <c r="C13" s="298"/>
      <c r="D13" s="2170"/>
      <c r="E13" s="2170"/>
      <c r="F13" s="2170"/>
      <c r="G13" s="951"/>
    </row>
    <row r="14" spans="1:9" ht="13.2">
      <c r="A14" s="415"/>
      <c r="B14" s="415"/>
      <c r="C14" s="299"/>
      <c r="D14" s="2089" t="s">
        <v>1575</v>
      </c>
      <c r="E14" s="2089"/>
      <c r="F14" s="2089"/>
      <c r="G14" s="484"/>
    </row>
    <row r="15" spans="1:9" ht="13.2">
      <c r="A15" s="415"/>
      <c r="B15" s="415"/>
      <c r="C15" s="299"/>
      <c r="D15" s="282"/>
      <c r="E15" s="282"/>
      <c r="F15" s="282"/>
    </row>
    <row r="16" spans="1:9" ht="14.4" customHeight="1">
      <c r="A16" s="413"/>
      <c r="B16" s="950" t="s">
        <v>1533</v>
      </c>
      <c r="C16" s="299"/>
      <c r="D16" s="2088" t="s">
        <v>1532</v>
      </c>
      <c r="E16" s="2088"/>
      <c r="F16" s="2088"/>
      <c r="G16" s="568"/>
    </row>
    <row r="17" spans="1:7" ht="14.4" customHeight="1">
      <c r="A17" s="413"/>
      <c r="B17" s="14"/>
      <c r="C17" s="299"/>
      <c r="D17" s="2088"/>
      <c r="E17" s="2088"/>
      <c r="F17" s="2088"/>
      <c r="G17" s="568"/>
    </row>
    <row r="18" spans="1:7" ht="13.2">
      <c r="A18" s="415"/>
      <c r="B18" s="14"/>
      <c r="C18" s="299"/>
      <c r="D18" s="2088"/>
      <c r="E18" s="2088"/>
      <c r="F18" s="2088"/>
      <c r="G18" s="568"/>
    </row>
    <row r="19" spans="1:7" ht="13.2">
      <c r="A19" s="415"/>
      <c r="B19" s="415"/>
      <c r="C19" s="299"/>
      <c r="D19" s="282"/>
      <c r="E19" s="282"/>
      <c r="F19" s="282"/>
    </row>
    <row r="20" spans="1:7" ht="14.4">
      <c r="A20" s="413"/>
      <c r="B20" s="950" t="s">
        <v>1533</v>
      </c>
      <c r="C20" s="14"/>
      <c r="D20" s="2107" t="s">
        <v>1566</v>
      </c>
      <c r="E20" s="2107"/>
      <c r="F20" s="2107"/>
    </row>
    <row r="21" spans="1:7" ht="14.4">
      <c r="A21" s="413"/>
      <c r="B21" s="413"/>
      <c r="C21" s="14"/>
      <c r="D21" s="287"/>
      <c r="E21" s="282"/>
      <c r="F21" s="282"/>
    </row>
    <row r="22" spans="1:7" ht="14.4">
      <c r="A22" s="413"/>
      <c r="B22" s="950" t="s">
        <v>136</v>
      </c>
      <c r="C22" s="14"/>
      <c r="D22" s="2088" t="s">
        <v>1567</v>
      </c>
      <c r="E22" s="2088"/>
      <c r="F22" s="2088"/>
    </row>
    <row r="23" spans="1:7" ht="14.4">
      <c r="A23" s="413"/>
      <c r="B23" s="413"/>
      <c r="C23" s="14"/>
      <c r="D23" s="2088"/>
      <c r="E23" s="2088"/>
      <c r="F23" s="2088"/>
    </row>
    <row r="24" spans="1:7" ht="14.4">
      <c r="A24" s="413"/>
      <c r="B24" s="413"/>
      <c r="C24" s="14"/>
      <c r="D24" s="287"/>
      <c r="E24" s="282"/>
      <c r="F24" s="282"/>
    </row>
    <row r="25" spans="1:7" ht="14.25" customHeight="1">
      <c r="A25" s="570"/>
      <c r="B25" s="950" t="s">
        <v>1533</v>
      </c>
      <c r="D25" s="1870" t="s">
        <v>1569</v>
      </c>
      <c r="E25" s="1870"/>
      <c r="F25" s="1870"/>
    </row>
    <row r="26" spans="1:7" ht="14.4">
      <c r="A26" s="570"/>
      <c r="B26" s="570"/>
      <c r="D26" s="1870"/>
      <c r="E26" s="1870"/>
      <c r="F26" s="1870"/>
    </row>
    <row r="27" spans="1:7" ht="14.4">
      <c r="A27" s="570"/>
      <c r="B27" s="570"/>
      <c r="D27" s="1870"/>
      <c r="E27" s="1870"/>
      <c r="F27" s="1870"/>
    </row>
    <row r="28" spans="1:7" ht="14.4">
      <c r="A28" s="570"/>
      <c r="B28" s="570"/>
      <c r="D28" s="1870"/>
      <c r="E28" s="1870"/>
      <c r="F28" s="1870"/>
    </row>
    <row r="29" spans="1:7" ht="14.4">
      <c r="A29" s="570"/>
      <c r="B29" s="570"/>
      <c r="D29" s="1870"/>
      <c r="E29" s="1870"/>
      <c r="F29" s="1870"/>
    </row>
    <row r="30" spans="1:7" ht="14.4">
      <c r="A30" s="570"/>
      <c r="B30" s="570"/>
      <c r="D30" s="910"/>
      <c r="F30" s="955"/>
    </row>
    <row r="31" spans="1:7" ht="14.4" customHeight="1">
      <c r="A31" s="570"/>
      <c r="B31" s="1503" t="s">
        <v>136</v>
      </c>
      <c r="D31" s="2093" t="s">
        <v>1568</v>
      </c>
      <c r="E31" s="2093"/>
      <c r="F31" s="2093"/>
    </row>
    <row r="32" spans="1:7" ht="14.4">
      <c r="A32" s="570"/>
      <c r="B32" s="570"/>
      <c r="D32" s="2093"/>
      <c r="E32" s="2093"/>
      <c r="F32" s="2093"/>
    </row>
    <row r="33" spans="1:6" ht="14.4">
      <c r="A33" s="413"/>
      <c r="B33" s="413"/>
      <c r="C33" s="14"/>
      <c r="D33" s="954"/>
      <c r="E33" s="954"/>
      <c r="F33" s="954"/>
    </row>
    <row r="34" spans="1:6" ht="14.4">
      <c r="A34" s="413"/>
      <c r="B34" s="1503" t="s">
        <v>136</v>
      </c>
      <c r="C34" s="14"/>
      <c r="D34" s="2096" t="s">
        <v>1983</v>
      </c>
      <c r="E34" s="2093"/>
      <c r="F34" s="2093"/>
    </row>
    <row r="35" spans="1:6" ht="14.4">
      <c r="A35" s="413"/>
      <c r="B35" s="413"/>
      <c r="C35" s="14"/>
      <c r="D35" s="2093"/>
      <c r="E35" s="2093"/>
      <c r="F35" s="2093"/>
    </row>
    <row r="36" spans="1:6" ht="14.4">
      <c r="A36" s="413"/>
      <c r="B36" s="413"/>
      <c r="C36" s="14"/>
      <c r="D36" s="2093"/>
      <c r="E36" s="2093"/>
      <c r="F36" s="2093"/>
    </row>
    <row r="37" spans="1:6" ht="14.4">
      <c r="A37" s="413"/>
      <c r="B37" s="413"/>
      <c r="C37" s="14"/>
      <c r="D37" s="2093"/>
      <c r="E37" s="2093"/>
      <c r="F37" s="2093"/>
    </row>
    <row r="38" spans="1:6" ht="14.4">
      <c r="A38" s="413"/>
      <c r="B38" s="413"/>
      <c r="C38" s="14"/>
      <c r="D38" s="2093"/>
      <c r="E38" s="2093"/>
      <c r="F38" s="2093"/>
    </row>
    <row r="39" spans="1:6" ht="14.4">
      <c r="A39" s="413"/>
      <c r="B39" s="413"/>
      <c r="C39" s="14"/>
      <c r="D39" s="2093"/>
      <c r="E39" s="2093"/>
      <c r="F39" s="2093"/>
    </row>
    <row r="40" spans="1:6" ht="14.4">
      <c r="A40" s="413"/>
      <c r="B40" s="413"/>
      <c r="C40" s="14"/>
      <c r="D40" s="2093"/>
      <c r="E40" s="2093"/>
      <c r="F40" s="2093"/>
    </row>
    <row r="41" spans="1:6" ht="14.4">
      <c r="A41" s="413"/>
      <c r="B41" s="413"/>
      <c r="C41" s="14"/>
      <c r="D41" s="2093"/>
      <c r="E41" s="2093"/>
      <c r="F41" s="2093"/>
    </row>
    <row r="42" spans="1:6" ht="14.4">
      <c r="A42" s="413"/>
      <c r="B42" s="413"/>
      <c r="C42" s="14"/>
      <c r="D42" s="957"/>
      <c r="E42" s="957"/>
      <c r="F42" s="957"/>
    </row>
    <row r="43" spans="1:6" ht="14.4" customHeight="1">
      <c r="A43" s="413"/>
      <c r="B43" s="1503" t="s">
        <v>136</v>
      </c>
      <c r="C43" s="14"/>
      <c r="D43" s="2093" t="s">
        <v>1611</v>
      </c>
      <c r="E43" s="2093"/>
      <c r="F43" s="2093"/>
    </row>
    <row r="44" spans="1:6" ht="14.4">
      <c r="A44" s="413"/>
      <c r="B44" s="413"/>
      <c r="C44" s="14"/>
      <c r="D44" s="2093"/>
      <c r="E44" s="2093"/>
      <c r="F44" s="2093"/>
    </row>
    <row r="45" spans="1:6" ht="14.4">
      <c r="A45" s="413"/>
      <c r="B45" s="413"/>
      <c r="C45" s="14"/>
      <c r="D45" s="2093"/>
      <c r="E45" s="2093"/>
      <c r="F45" s="2093"/>
    </row>
    <row r="46" spans="1:6" ht="14.4">
      <c r="A46" s="413"/>
      <c r="B46" s="413"/>
      <c r="C46" s="14"/>
      <c r="D46" s="2093"/>
      <c r="E46" s="2093"/>
      <c r="F46" s="2093"/>
    </row>
    <row r="47" spans="1:6" ht="14.4">
      <c r="A47" s="413"/>
      <c r="B47" s="413"/>
      <c r="C47" s="14"/>
      <c r="D47" s="2093"/>
      <c r="E47" s="2093"/>
      <c r="F47" s="2093"/>
    </row>
    <row r="48" spans="1:6" ht="14.4">
      <c r="A48" s="413"/>
      <c r="B48" s="413"/>
      <c r="C48" s="14"/>
      <c r="D48" s="403"/>
    </row>
    <row r="49" spans="1:6" ht="14.4">
      <c r="A49" s="413"/>
      <c r="B49" s="1503" t="s">
        <v>136</v>
      </c>
      <c r="C49" s="14"/>
      <c r="D49" s="2096" t="s">
        <v>2153</v>
      </c>
      <c r="E49" s="2093"/>
      <c r="F49" s="2093"/>
    </row>
    <row r="50" spans="1:6" ht="14.4">
      <c r="A50" s="413"/>
      <c r="B50" s="413"/>
      <c r="C50" s="14"/>
      <c r="D50" s="2093"/>
      <c r="E50" s="2093"/>
      <c r="F50" s="2093"/>
    </row>
    <row r="51" spans="1:6" ht="14.4">
      <c r="A51" s="413"/>
      <c r="B51" s="413"/>
      <c r="C51" s="14"/>
      <c r="D51" s="2093"/>
      <c r="E51" s="2093"/>
      <c r="F51" s="2093"/>
    </row>
    <row r="52" spans="1:6" ht="14.4">
      <c r="A52" s="413"/>
      <c r="B52" s="413"/>
      <c r="C52" s="14"/>
      <c r="D52" s="2093"/>
      <c r="E52" s="2093"/>
      <c r="F52" s="2093"/>
    </row>
    <row r="53" spans="1:6" ht="14.4">
      <c r="A53" s="413"/>
      <c r="B53" s="413"/>
      <c r="C53" s="14"/>
      <c r="D53" s="2093"/>
      <c r="E53" s="2093"/>
      <c r="F53" s="2093"/>
    </row>
    <row r="54" spans="1:6" ht="15" customHeight="1">
      <c r="A54" s="413"/>
      <c r="B54" s="413"/>
      <c r="C54" s="14"/>
      <c r="D54" s="2093"/>
      <c r="E54" s="2093"/>
      <c r="F54" s="2093"/>
    </row>
    <row r="55" spans="1:6" ht="14.4">
      <c r="A55" s="413"/>
      <c r="B55" s="413"/>
      <c r="C55" s="14"/>
      <c r="D55" s="2"/>
    </row>
    <row r="56" spans="1:6" ht="14.4">
      <c r="A56" s="413"/>
      <c r="B56" s="1503" t="s">
        <v>136</v>
      </c>
      <c r="C56" s="14"/>
      <c r="D56" s="2096" t="s">
        <v>2208</v>
      </c>
      <c r="E56" s="2093"/>
      <c r="F56" s="2093"/>
    </row>
    <row r="57" spans="1:6" ht="14.4">
      <c r="A57" s="413"/>
      <c r="B57" s="413"/>
      <c r="C57" s="14"/>
      <c r="D57" s="2093"/>
      <c r="E57" s="2093"/>
      <c r="F57" s="2093"/>
    </row>
    <row r="58" spans="1:6" ht="14.4">
      <c r="A58" s="413"/>
      <c r="B58" s="413"/>
      <c r="C58" s="14"/>
      <c r="D58" s="2093"/>
      <c r="E58" s="2093"/>
      <c r="F58" s="2093"/>
    </row>
    <row r="59" spans="1:6" ht="14.4">
      <c r="A59" s="413"/>
      <c r="B59" s="413"/>
      <c r="C59" s="14"/>
      <c r="D59" s="2093"/>
      <c r="E59" s="2093"/>
      <c r="F59" s="2093"/>
    </row>
    <row r="60" spans="1:6" ht="17.25" customHeight="1">
      <c r="A60" s="413"/>
      <c r="B60" s="413"/>
      <c r="C60" s="14"/>
      <c r="D60" s="2093"/>
      <c r="E60" s="2093"/>
      <c r="F60" s="2093"/>
    </row>
    <row r="61" spans="1:6" ht="14.25" customHeight="1">
      <c r="A61" s="413"/>
      <c r="B61" s="950" t="s">
        <v>136</v>
      </c>
      <c r="C61" s="14"/>
      <c r="D61" s="1977" t="s">
        <v>1616</v>
      </c>
      <c r="E61" s="1977"/>
      <c r="F61" s="1977"/>
    </row>
    <row r="62" spans="1:6" ht="15" customHeight="1">
      <c r="A62" s="413"/>
      <c r="B62" s="413"/>
      <c r="C62" s="14"/>
      <c r="D62" s="1977"/>
      <c r="E62" s="1977"/>
      <c r="F62" s="1977"/>
    </row>
    <row r="63" spans="1:6" ht="21.6" customHeight="1">
      <c r="A63" s="413"/>
      <c r="B63" s="413"/>
      <c r="C63" s="14"/>
      <c r="D63" s="1977"/>
      <c r="E63" s="1977"/>
      <c r="F63" s="1977"/>
    </row>
    <row r="64" spans="1:6" ht="14.4">
      <c r="A64" s="413"/>
      <c r="B64" s="413"/>
      <c r="C64" s="14"/>
      <c r="D64" s="136"/>
    </row>
    <row r="65" spans="1:6" ht="14.4">
      <c r="A65" s="570"/>
      <c r="B65" s="1503" t="s">
        <v>1533</v>
      </c>
      <c r="D65" s="2093" t="s">
        <v>1617</v>
      </c>
      <c r="E65" s="2093"/>
      <c r="F65" s="2093"/>
    </row>
    <row r="66" spans="1:6" ht="14.4">
      <c r="A66" s="570"/>
      <c r="B66" s="570"/>
      <c r="D66" s="2093"/>
      <c r="E66" s="2093"/>
      <c r="F66" s="2093"/>
    </row>
    <row r="67" spans="1:6" ht="14.4">
      <c r="A67" s="413"/>
      <c r="B67" s="413"/>
      <c r="C67" s="14"/>
      <c r="D67" s="136"/>
    </row>
    <row r="68" spans="1:6" ht="14.4">
      <c r="A68" s="413"/>
      <c r="B68" s="950" t="s">
        <v>136</v>
      </c>
      <c r="C68" s="14"/>
      <c r="D68" s="2093" t="s">
        <v>1737</v>
      </c>
      <c r="E68" s="2093"/>
      <c r="F68" s="2093"/>
    </row>
    <row r="69" spans="1:6" ht="13.2">
      <c r="A69" s="140"/>
      <c r="B69" s="140"/>
      <c r="C69" s="14"/>
      <c r="D69" s="2093"/>
      <c r="E69" s="2093"/>
      <c r="F69" s="2093"/>
    </row>
    <row r="70" spans="1:6" ht="13.2">
      <c r="A70" s="140"/>
      <c r="B70" s="140"/>
      <c r="C70" s="14"/>
      <c r="D70" s="2093"/>
      <c r="E70" s="2093"/>
      <c r="F70" s="2093"/>
    </row>
    <row r="71" spans="1:6" ht="13.2">
      <c r="A71" s="140"/>
      <c r="B71" s="140"/>
      <c r="C71" s="14"/>
      <c r="D71" s="282"/>
      <c r="E71" s="282"/>
      <c r="F71" s="282"/>
    </row>
    <row r="72" spans="1:6" ht="14.4">
      <c r="A72" s="413" t="s">
        <v>255</v>
      </c>
      <c r="B72" s="950" t="s">
        <v>136</v>
      </c>
      <c r="C72" s="14"/>
      <c r="D72" s="2093" t="s">
        <v>1618</v>
      </c>
      <c r="E72" s="2093"/>
      <c r="F72" s="2093"/>
    </row>
    <row r="73" spans="1:6" ht="13.2">
      <c r="A73" s="140"/>
      <c r="B73" s="140"/>
      <c r="C73" s="14"/>
      <c r="D73" s="2093"/>
      <c r="E73" s="2093"/>
      <c r="F73" s="2093"/>
    </row>
    <row r="74" spans="1:6" ht="13.2">
      <c r="A74" s="140"/>
      <c r="B74" s="140"/>
      <c r="C74" s="14"/>
      <c r="D74" s="282"/>
      <c r="E74" s="282"/>
      <c r="F74" s="282"/>
    </row>
    <row r="75" spans="1:6" ht="14.4">
      <c r="A75" s="413" t="s">
        <v>255</v>
      </c>
      <c r="B75" s="950" t="s">
        <v>1533</v>
      </c>
      <c r="C75" s="14"/>
      <c r="D75" s="2093" t="s">
        <v>1619</v>
      </c>
      <c r="E75" s="2093"/>
      <c r="F75" s="2093"/>
    </row>
    <row r="76" spans="1:6" ht="13.2">
      <c r="A76" s="140"/>
      <c r="B76" s="140"/>
      <c r="C76" s="14"/>
      <c r="D76" s="2093"/>
      <c r="E76" s="2093"/>
      <c r="F76" s="2093"/>
    </row>
    <row r="77" spans="1:6" ht="13.2">
      <c r="A77" s="140"/>
      <c r="B77" s="140"/>
      <c r="C77" s="14"/>
      <c r="D77" s="2093"/>
      <c r="E77" s="2093"/>
      <c r="F77" s="2093"/>
    </row>
    <row r="78" spans="1:6" ht="13.2">
      <c r="A78" s="140"/>
      <c r="B78" s="140"/>
      <c r="C78" s="14"/>
      <c r="D78" s="403"/>
      <c r="E78" s="282"/>
      <c r="F78" s="282"/>
    </row>
    <row r="79" spans="1:6" ht="14.4">
      <c r="A79" s="413" t="s">
        <v>255</v>
      </c>
      <c r="B79" s="950" t="s">
        <v>1533</v>
      </c>
      <c r="C79" s="14"/>
      <c r="D79" s="2088" t="s">
        <v>1620</v>
      </c>
      <c r="E79" s="2088"/>
      <c r="F79" s="2088"/>
    </row>
    <row r="80" spans="1:6" ht="13.2">
      <c r="A80" s="140"/>
      <c r="B80" s="140"/>
      <c r="C80" s="14"/>
      <c r="D80" s="2088"/>
      <c r="E80" s="2088"/>
      <c r="F80" s="2088"/>
    </row>
    <row r="81" spans="1:7" ht="13.2">
      <c r="A81" s="140"/>
      <c r="B81" s="140"/>
      <c r="C81" s="14"/>
      <c r="D81" s="282"/>
      <c r="E81" s="282"/>
      <c r="F81" s="282"/>
    </row>
    <row r="82" spans="1:7" ht="13.2">
      <c r="A82" s="2138" t="s">
        <v>1538</v>
      </c>
      <c r="B82" s="2138"/>
      <c r="C82" s="2138"/>
      <c r="D82" s="2138"/>
      <c r="E82" s="2138"/>
      <c r="F82" s="2138"/>
      <c r="G82" s="2138"/>
    </row>
    <row r="83" spans="1:7" ht="13.2">
      <c r="A83" s="140"/>
      <c r="B83" s="140"/>
      <c r="C83" s="14"/>
      <c r="D83" s="282"/>
      <c r="E83" s="2"/>
      <c r="F83" s="2"/>
      <c r="G83" s="2"/>
    </row>
    <row r="84" spans="1:7" ht="13.65" customHeight="1">
      <c r="A84" s="140"/>
      <c r="B84" s="140"/>
      <c r="C84" s="926"/>
      <c r="D84" s="2116" t="s">
        <v>1539</v>
      </c>
      <c r="E84" s="2116"/>
      <c r="F84" s="2116"/>
      <c r="G84" s="2"/>
    </row>
    <row r="85" spans="1:7" ht="13.65" customHeight="1">
      <c r="A85" s="143"/>
      <c r="B85" s="143"/>
      <c r="C85" s="14"/>
      <c r="D85" s="2088" t="s">
        <v>1740</v>
      </c>
      <c r="E85" s="2088"/>
      <c r="F85" s="2088"/>
      <c r="G85" s="2"/>
    </row>
    <row r="86" spans="1:7" ht="13.2">
      <c r="A86" s="143"/>
      <c r="B86" s="143"/>
      <c r="C86" s="14"/>
      <c r="D86" s="282"/>
      <c r="E86" s="2"/>
      <c r="F86" s="2"/>
      <c r="G86" s="2"/>
    </row>
    <row r="87" spans="1:7" ht="14.25" customHeight="1">
      <c r="A87" s="413"/>
      <c r="B87" s="950" t="s">
        <v>1533</v>
      </c>
      <c r="C87" s="14"/>
      <c r="D87" s="2095" t="s">
        <v>2122</v>
      </c>
      <c r="E87" s="2095"/>
      <c r="F87" s="2095"/>
      <c r="G87" s="2"/>
    </row>
    <row r="88" spans="1:7" ht="14.4" customHeight="1">
      <c r="A88" s="413"/>
      <c r="B88" s="14"/>
      <c r="C88" s="14"/>
      <c r="D88" s="2095"/>
      <c r="E88" s="2095"/>
      <c r="F88" s="2095"/>
      <c r="G88" s="2"/>
    </row>
    <row r="89" spans="1:7" ht="14.4">
      <c r="A89" s="413"/>
      <c r="B89" s="413"/>
      <c r="C89" s="14"/>
      <c r="D89" s="2095"/>
      <c r="E89" s="2095"/>
      <c r="F89" s="2095"/>
      <c r="G89" s="2"/>
    </row>
    <row r="90" spans="1:7" ht="14.4">
      <c r="A90" s="413"/>
      <c r="B90" s="413"/>
      <c r="C90" s="14"/>
      <c r="D90" s="2095"/>
      <c r="E90" s="2095"/>
      <c r="F90" s="2095"/>
      <c r="G90" s="2"/>
    </row>
    <row r="91" spans="1:7" ht="14.4">
      <c r="A91" s="413"/>
      <c r="B91" s="413"/>
      <c r="C91" s="14"/>
      <c r="D91" s="2095"/>
      <c r="E91" s="2095"/>
      <c r="F91" s="2095"/>
      <c r="G91" s="2"/>
    </row>
    <row r="92" spans="1:7" ht="14.4">
      <c r="A92" s="413"/>
      <c r="B92" s="413"/>
      <c r="C92" s="14"/>
      <c r="D92" s="2095"/>
      <c r="E92" s="2095"/>
      <c r="F92" s="2095"/>
      <c r="G92" s="2"/>
    </row>
    <row r="93" spans="1:7" ht="14.4">
      <c r="A93" s="413"/>
      <c r="B93" s="413"/>
      <c r="C93" s="14"/>
      <c r="D93" s="2095"/>
      <c r="E93" s="2095"/>
      <c r="F93" s="2095"/>
      <c r="G93" s="2"/>
    </row>
    <row r="94" spans="1:7" ht="14.4">
      <c r="A94" s="413"/>
      <c r="B94" s="413"/>
      <c r="C94" s="14"/>
      <c r="D94" s="2095"/>
      <c r="E94" s="2095"/>
      <c r="F94" s="2095"/>
      <c r="G94" s="2"/>
    </row>
    <row r="95" spans="1:7" ht="14.4">
      <c r="A95" s="413"/>
      <c r="B95" s="413"/>
      <c r="C95" s="14"/>
      <c r="D95" s="2095"/>
      <c r="E95" s="2095"/>
      <c r="F95" s="2095"/>
      <c r="G95" s="2"/>
    </row>
    <row r="96" spans="1:7" ht="14.4" customHeight="1">
      <c r="A96" s="413"/>
      <c r="B96" s="1503" t="s">
        <v>136</v>
      </c>
      <c r="C96" s="14"/>
      <c r="D96" s="2140" t="s">
        <v>2123</v>
      </c>
      <c r="E96" s="2140"/>
      <c r="F96" s="2140"/>
      <c r="G96" s="2"/>
    </row>
    <row r="97" spans="1:7" ht="14.4">
      <c r="A97" s="413"/>
      <c r="B97" s="413"/>
      <c r="C97" s="14"/>
      <c r="D97" s="2140"/>
      <c r="E97" s="2140"/>
      <c r="F97" s="2140"/>
      <c r="G97" s="2"/>
    </row>
    <row r="98" spans="1:7" ht="14.4">
      <c r="A98" s="413"/>
      <c r="B98" s="413"/>
      <c r="C98" s="14"/>
      <c r="D98" s="2140"/>
      <c r="E98" s="2140"/>
      <c r="F98" s="2140"/>
      <c r="G98" s="2"/>
    </row>
    <row r="99" spans="1:7" ht="14.4">
      <c r="A99" s="413"/>
      <c r="B99" s="413"/>
      <c r="C99" s="14"/>
      <c r="D99" s="2140"/>
      <c r="E99" s="2140"/>
      <c r="F99" s="2140"/>
      <c r="G99" s="2"/>
    </row>
    <row r="100" spans="1:7" ht="14.4">
      <c r="A100" s="413"/>
      <c r="B100" s="413"/>
      <c r="C100" s="14"/>
      <c r="D100" s="2140"/>
      <c r="E100" s="2140"/>
      <c r="F100" s="2140"/>
      <c r="G100" s="2"/>
    </row>
    <row r="101" spans="1:7" ht="14.4">
      <c r="A101" s="413"/>
      <c r="B101" s="413"/>
      <c r="C101" s="14"/>
      <c r="D101" s="2140"/>
      <c r="E101" s="2140"/>
      <c r="F101" s="2140"/>
      <c r="G101" s="2"/>
    </row>
    <row r="102" spans="1:7" ht="14.4">
      <c r="A102" s="413"/>
      <c r="B102" s="413"/>
      <c r="C102" s="14"/>
      <c r="D102" s="2140"/>
      <c r="E102" s="2140"/>
      <c r="F102" s="2140"/>
      <c r="G102" s="2"/>
    </row>
    <row r="103" spans="1:7" ht="14.4">
      <c r="A103" s="413"/>
      <c r="B103" s="413"/>
      <c r="C103" s="14"/>
      <c r="D103" s="2140"/>
      <c r="E103" s="2140"/>
      <c r="F103" s="2140"/>
      <c r="G103" s="2"/>
    </row>
    <row r="104" spans="1:7" ht="14.4">
      <c r="A104" s="413"/>
      <c r="B104" s="413"/>
      <c r="C104" s="14"/>
      <c r="D104" s="2140"/>
      <c r="E104" s="2140"/>
      <c r="F104" s="2140"/>
      <c r="G104" s="2"/>
    </row>
    <row r="105" spans="1:7" ht="14.4">
      <c r="A105" s="413"/>
      <c r="B105" s="413"/>
      <c r="C105" s="14"/>
      <c r="D105" s="2140"/>
      <c r="E105" s="2140"/>
      <c r="F105" s="2140"/>
      <c r="G105" s="2"/>
    </row>
    <row r="106" spans="1:7" ht="14.4">
      <c r="A106" s="413"/>
      <c r="B106" s="413"/>
      <c r="C106" s="14"/>
      <c r="D106" s="2140"/>
      <c r="E106" s="2140"/>
      <c r="F106" s="2140"/>
      <c r="G106" s="2"/>
    </row>
    <row r="107" spans="1:7" ht="14.4">
      <c r="A107" s="413"/>
      <c r="B107" s="413"/>
      <c r="C107" s="14"/>
      <c r="D107" s="2140"/>
      <c r="E107" s="2140"/>
      <c r="F107" s="2140"/>
      <c r="G107" s="2"/>
    </row>
    <row r="108" spans="1:7" ht="14.4">
      <c r="A108" s="413"/>
      <c r="B108" s="413"/>
      <c r="C108" s="14"/>
      <c r="D108" s="2140"/>
      <c r="E108" s="2140"/>
      <c r="F108" s="2140"/>
      <c r="G108" s="2"/>
    </row>
    <row r="109" spans="1:7" ht="14.4">
      <c r="A109" s="413"/>
      <c r="B109" s="983" t="s">
        <v>136</v>
      </c>
      <c r="C109" s="14"/>
      <c r="D109" s="2088" t="s">
        <v>1741</v>
      </c>
      <c r="E109" s="2088"/>
      <c r="F109" s="2088"/>
      <c r="G109" s="2"/>
    </row>
    <row r="110" spans="1:7" ht="14.4">
      <c r="A110" s="413"/>
      <c r="B110" s="413"/>
      <c r="C110" s="14"/>
      <c r="D110" s="2088"/>
      <c r="E110" s="2088"/>
      <c r="F110" s="2088"/>
      <c r="G110" s="2"/>
    </row>
    <row r="111" spans="1:7" ht="14.4">
      <c r="A111" s="413"/>
      <c r="B111" s="413"/>
      <c r="C111" s="14"/>
      <c r="D111" s="2088"/>
      <c r="E111" s="2088"/>
      <c r="F111" s="2088"/>
      <c r="G111" s="2"/>
    </row>
    <row r="112" spans="1:7" ht="14.4">
      <c r="A112" s="413"/>
      <c r="B112" s="413"/>
      <c r="C112" s="14"/>
      <c r="D112" s="2088"/>
      <c r="E112" s="2088"/>
      <c r="F112" s="2088"/>
      <c r="G112" s="2"/>
    </row>
    <row r="113" spans="1:7" ht="14.4">
      <c r="A113" s="413"/>
      <c r="B113" s="413"/>
      <c r="C113" s="14"/>
      <c r="D113" s="2088"/>
      <c r="E113" s="2088"/>
      <c r="F113" s="2088"/>
      <c r="G113" s="2"/>
    </row>
    <row r="114" spans="1:7" ht="14.4">
      <c r="A114" s="413"/>
      <c r="B114" s="413"/>
      <c r="C114" s="14"/>
      <c r="D114" s="2088"/>
      <c r="E114" s="2088"/>
      <c r="F114" s="2088"/>
      <c r="G114" s="2"/>
    </row>
    <row r="115" spans="1:7" ht="14.4">
      <c r="A115" s="413"/>
      <c r="B115" s="413"/>
      <c r="C115" s="14"/>
      <c r="D115" s="2088"/>
      <c r="E115" s="2088"/>
      <c r="F115" s="2088"/>
      <c r="G115" s="2"/>
    </row>
    <row r="116" spans="1:7" ht="14.4">
      <c r="A116" s="413"/>
      <c r="B116" s="413"/>
      <c r="C116" s="14"/>
      <c r="D116" s="2088"/>
      <c r="E116" s="2088"/>
      <c r="F116" s="2088"/>
      <c r="G116" s="2"/>
    </row>
    <row r="117" spans="1:7" ht="12.75" customHeight="1">
      <c r="A117" s="413"/>
      <c r="B117" s="950" t="s">
        <v>1533</v>
      </c>
      <c r="C117" s="14"/>
      <c r="D117" s="2088" t="s">
        <v>1742</v>
      </c>
      <c r="E117" s="2088"/>
      <c r="F117" s="2088"/>
    </row>
    <row r="118" spans="1:7" ht="13.2">
      <c r="A118" s="140"/>
      <c r="B118" s="140"/>
      <c r="C118" s="14"/>
      <c r="D118" s="2088"/>
      <c r="E118" s="2088"/>
      <c r="F118" s="2088"/>
    </row>
    <row r="119" spans="1:7" ht="13.2">
      <c r="A119" s="140"/>
      <c r="B119" s="140"/>
      <c r="C119" s="14"/>
      <c r="D119" s="2088"/>
      <c r="E119" s="2088"/>
      <c r="F119" s="2088"/>
    </row>
    <row r="120" spans="1:7" ht="13.2">
      <c r="A120" s="140"/>
      <c r="B120" s="140"/>
      <c r="C120" s="14"/>
      <c r="D120" s="2088"/>
      <c r="E120" s="2088"/>
      <c r="F120" s="2088"/>
    </row>
    <row r="121" spans="1:7" ht="26.85" customHeight="1">
      <c r="A121" s="140"/>
      <c r="B121" s="140"/>
      <c r="C121" s="14"/>
      <c r="D121" s="2088"/>
      <c r="E121" s="2088"/>
      <c r="F121" s="2088"/>
    </row>
    <row r="122" spans="1:7" ht="13.2">
      <c r="A122" s="140"/>
      <c r="B122" s="140"/>
      <c r="C122" s="14"/>
      <c r="D122" s="282"/>
      <c r="E122" s="282"/>
      <c r="F122" s="282"/>
    </row>
    <row r="123" spans="1:7" ht="14.4">
      <c r="A123" s="413"/>
      <c r="B123" s="950" t="s">
        <v>1533</v>
      </c>
      <c r="C123" s="14"/>
      <c r="D123" s="2093" t="s">
        <v>1743</v>
      </c>
      <c r="E123" s="2093"/>
      <c r="F123" s="2093"/>
    </row>
    <row r="124" spans="1:7" s="515" customFormat="1" ht="13.95" customHeight="1">
      <c r="A124" s="505"/>
      <c r="B124" s="505"/>
      <c r="C124" s="506"/>
      <c r="D124" s="2093"/>
      <c r="E124" s="2093"/>
      <c r="F124" s="2093"/>
      <c r="G124" s="576"/>
    </row>
    <row r="125" spans="1:7" ht="13.95" customHeight="1">
      <c r="A125" s="140"/>
      <c r="B125" s="140"/>
      <c r="C125" s="14"/>
      <c r="D125" s="2093"/>
      <c r="E125" s="2093"/>
      <c r="F125" s="2093"/>
    </row>
    <row r="126" spans="1:7" ht="13.95" customHeight="1">
      <c r="A126" s="140"/>
      <c r="B126" s="140"/>
      <c r="C126" s="14"/>
      <c r="D126" s="2093"/>
      <c r="E126" s="2093"/>
      <c r="F126" s="2093"/>
    </row>
    <row r="127" spans="1:7" ht="13.95" customHeight="1">
      <c r="A127" s="140"/>
      <c r="B127" s="140"/>
      <c r="C127" s="14"/>
      <c r="D127" s="2093"/>
      <c r="E127" s="2093"/>
      <c r="F127" s="2093"/>
    </row>
    <row r="128" spans="1:7" ht="13.95" customHeight="1">
      <c r="A128" s="140"/>
      <c r="B128" s="140"/>
      <c r="C128" s="14"/>
      <c r="D128" s="2093"/>
      <c r="E128" s="2093"/>
      <c r="F128" s="2093"/>
    </row>
    <row r="129" spans="1:7" ht="13.95" customHeight="1">
      <c r="A129" s="984"/>
      <c r="B129" s="984"/>
      <c r="C129" s="14"/>
      <c r="D129" s="2093"/>
      <c r="E129" s="2093"/>
      <c r="F129" s="2093"/>
      <c r="G129" s="2"/>
    </row>
    <row r="130" spans="1:7" ht="13.95" customHeight="1">
      <c r="A130" s="984"/>
      <c r="B130" s="984"/>
      <c r="C130" s="14"/>
      <c r="D130" s="2093"/>
      <c r="E130" s="2093"/>
      <c r="F130" s="2093"/>
      <c r="G130" s="2"/>
    </row>
    <row r="131" spans="1:7" ht="13.95" customHeight="1">
      <c r="A131" s="984"/>
      <c r="B131" s="984"/>
      <c r="C131" s="14"/>
      <c r="D131" s="2093"/>
      <c r="E131" s="2093"/>
      <c r="F131" s="2093"/>
      <c r="G131" s="2"/>
    </row>
    <row r="132" spans="1:7" ht="13.95" customHeight="1">
      <c r="A132" s="984"/>
      <c r="B132" s="984"/>
      <c r="C132" s="14"/>
      <c r="D132" s="2093"/>
      <c r="E132" s="2093"/>
      <c r="F132" s="2093"/>
      <c r="G132" s="2"/>
    </row>
    <row r="133" spans="1:7" ht="17.25" customHeight="1">
      <c r="A133" s="984"/>
      <c r="B133" s="984"/>
      <c r="C133" s="14"/>
      <c r="D133" s="2093"/>
      <c r="E133" s="2093"/>
      <c r="F133" s="2093"/>
      <c r="G133" s="2"/>
    </row>
    <row r="134" spans="1:7" ht="25.5" hidden="1" customHeight="1">
      <c r="A134" s="984"/>
      <c r="B134" s="984"/>
      <c r="C134" s="14"/>
      <c r="D134" s="2093"/>
      <c r="E134" s="2093"/>
      <c r="F134" s="2093"/>
      <c r="G134" s="2"/>
    </row>
    <row r="135" spans="1:7" ht="13.95" customHeight="1">
      <c r="A135" s="984"/>
      <c r="B135" s="984"/>
      <c r="C135" s="14"/>
      <c r="D135" s="282"/>
      <c r="E135" s="282"/>
      <c r="F135" s="282"/>
      <c r="G135" s="2"/>
    </row>
    <row r="136" spans="1:7" ht="13.95" customHeight="1">
      <c r="A136" s="140"/>
      <c r="B136" s="950" t="s">
        <v>136</v>
      </c>
      <c r="C136" s="14"/>
      <c r="D136" s="2095" t="s">
        <v>1957</v>
      </c>
      <c r="E136" s="2088"/>
      <c r="F136" s="2088"/>
      <c r="G136" s="2"/>
    </row>
    <row r="137" spans="1:7" ht="13.95" customHeight="1">
      <c r="A137" s="140"/>
      <c r="B137" s="140"/>
      <c r="C137" s="14"/>
      <c r="D137" s="2088"/>
      <c r="E137" s="2088"/>
      <c r="F137" s="2088"/>
      <c r="G137" s="2"/>
    </row>
    <row r="138" spans="1:7" ht="13.95" customHeight="1">
      <c r="A138" s="140"/>
      <c r="B138" s="140"/>
      <c r="C138" s="14"/>
      <c r="D138" s="2088"/>
      <c r="E138" s="2088"/>
      <c r="F138" s="2088"/>
      <c r="G138" s="2"/>
    </row>
    <row r="139" spans="1:7" ht="13.95" customHeight="1">
      <c r="A139" s="150"/>
      <c r="B139" s="150"/>
      <c r="D139" s="2088"/>
      <c r="E139" s="2088"/>
      <c r="F139" s="2088"/>
      <c r="G139" s="2"/>
    </row>
    <row r="140" spans="1:7" ht="13.95" customHeight="1">
      <c r="A140" s="140"/>
      <c r="B140" s="140"/>
      <c r="C140" s="14"/>
      <c r="D140" s="2088"/>
      <c r="E140" s="2088"/>
      <c r="F140" s="2088"/>
      <c r="G140" s="2"/>
    </row>
    <row r="141" spans="1:7" ht="13.95" customHeight="1">
      <c r="A141" s="33"/>
      <c r="B141" s="33"/>
      <c r="C141" s="14"/>
      <c r="D141" s="2088"/>
      <c r="E141" s="2088"/>
      <c r="F141" s="2088"/>
      <c r="G141" s="2"/>
    </row>
    <row r="142" spans="1:7" ht="13.95" customHeight="1">
      <c r="A142" s="33"/>
      <c r="B142" s="33"/>
      <c r="C142" s="14"/>
      <c r="D142" s="2088"/>
      <c r="E142" s="2088"/>
      <c r="F142" s="2088"/>
      <c r="G142" s="2"/>
    </row>
    <row r="143" spans="1:7" ht="13.95" customHeight="1">
      <c r="A143" s="985"/>
      <c r="B143" s="985"/>
      <c r="C143" s="14"/>
      <c r="D143" s="2088"/>
      <c r="E143" s="2088"/>
      <c r="F143" s="2088"/>
      <c r="G143" s="2"/>
    </row>
    <row r="144" spans="1:7" ht="13.95" customHeight="1">
      <c r="A144" s="985"/>
      <c r="B144" s="985"/>
      <c r="C144" s="14"/>
      <c r="D144" s="2088"/>
      <c r="E144" s="2088"/>
      <c r="F144" s="2088"/>
      <c r="G144" s="2"/>
    </row>
    <row r="145" spans="1:7" ht="13.95" customHeight="1">
      <c r="A145" s="985"/>
      <c r="B145" s="985"/>
      <c r="C145" s="14"/>
      <c r="D145" s="2088"/>
      <c r="E145" s="2088"/>
      <c r="F145" s="2088"/>
      <c r="G145" s="2"/>
    </row>
    <row r="146" spans="1:7" ht="13.95" customHeight="1">
      <c r="A146" s="1087"/>
      <c r="B146" s="1087"/>
      <c r="C146" s="14"/>
      <c r="D146" s="2088"/>
      <c r="E146" s="2088"/>
      <c r="F146" s="2088"/>
      <c r="G146" s="2"/>
    </row>
    <row r="147" spans="1:7" ht="13.95" customHeight="1">
      <c r="A147" s="1087"/>
      <c r="B147" s="1087"/>
      <c r="C147" s="14"/>
      <c r="D147" s="2088"/>
      <c r="E147" s="2088"/>
      <c r="F147" s="2088"/>
      <c r="G147" s="2"/>
    </row>
    <row r="148" spans="1:7" ht="13.95" customHeight="1">
      <c r="A148" s="985"/>
      <c r="B148" s="985"/>
      <c r="C148" s="14"/>
      <c r="D148" s="2088"/>
      <c r="E148" s="2088"/>
      <c r="F148" s="2088"/>
      <c r="G148" s="2"/>
    </row>
    <row r="149" spans="1:7" ht="13.95" customHeight="1">
      <c r="A149" s="985"/>
      <c r="B149" s="985"/>
      <c r="C149" s="14"/>
      <c r="D149" s="2088"/>
      <c r="E149" s="2088"/>
      <c r="F149" s="2088"/>
      <c r="G149" s="2"/>
    </row>
    <row r="150" spans="1:7" ht="13.95" customHeight="1">
      <c r="A150" s="985"/>
      <c r="B150" s="985"/>
      <c r="C150" s="14"/>
      <c r="D150" s="2088"/>
      <c r="E150" s="2088"/>
      <c r="F150" s="2088"/>
      <c r="G150" s="2"/>
    </row>
    <row r="151" spans="1:7" ht="13.95" customHeight="1">
      <c r="A151" s="985"/>
      <c r="B151" s="985"/>
      <c r="C151" s="14"/>
      <c r="D151" s="2088"/>
      <c r="E151" s="2088"/>
      <c r="F151" s="2088"/>
      <c r="G151" s="2"/>
    </row>
    <row r="152" spans="1:7" ht="13.95" customHeight="1">
      <c r="A152" s="985"/>
      <c r="B152" s="985"/>
      <c r="C152" s="14"/>
      <c r="D152" s="2088"/>
      <c r="E152" s="2088"/>
      <c r="F152" s="2088"/>
      <c r="G152" s="2"/>
    </row>
    <row r="153" spans="1:7" ht="13.95" customHeight="1">
      <c r="A153" s="985"/>
      <c r="B153" s="985"/>
      <c r="C153" s="14"/>
      <c r="D153" s="2088"/>
      <c r="E153" s="2088"/>
      <c r="F153" s="2088"/>
      <c r="G153" s="2"/>
    </row>
    <row r="154" spans="1:7" ht="13.95" customHeight="1">
      <c r="A154" s="1101"/>
      <c r="B154" s="1101"/>
      <c r="C154" s="14"/>
      <c r="D154" s="2137" t="s">
        <v>1958</v>
      </c>
      <c r="E154" s="2137"/>
      <c r="F154" s="2137"/>
      <c r="G154" s="2"/>
    </row>
    <row r="155" spans="1:7" ht="13.95" customHeight="1">
      <c r="A155" s="985"/>
      <c r="B155" s="985"/>
      <c r="C155" s="14"/>
      <c r="D155" s="981"/>
      <c r="E155" s="282"/>
      <c r="F155" s="282"/>
      <c r="G155" s="2"/>
    </row>
    <row r="156" spans="1:7" ht="13.95" customHeight="1">
      <c r="A156" s="413"/>
      <c r="B156" s="1503" t="s">
        <v>136</v>
      </c>
      <c r="C156" s="14"/>
      <c r="D156" s="2141" t="s">
        <v>1992</v>
      </c>
      <c r="E156" s="2142"/>
      <c r="F156" s="2142"/>
      <c r="G156" s="2"/>
    </row>
    <row r="157" spans="1:7" ht="13.95" customHeight="1">
      <c r="A157" s="413"/>
      <c r="B157" s="1128"/>
      <c r="C157" s="14"/>
      <c r="D157" s="2142"/>
      <c r="E157" s="2142"/>
      <c r="F157" s="2142"/>
      <c r="G157" s="2"/>
    </row>
    <row r="158" spans="1:7" ht="13.95" customHeight="1">
      <c r="A158" s="33"/>
      <c r="B158" s="33"/>
      <c r="C158" s="14"/>
      <c r="D158" s="2142"/>
      <c r="E158" s="2142"/>
      <c r="F158" s="2142"/>
      <c r="G158" s="2"/>
    </row>
    <row r="159" spans="1:7" ht="13.95" customHeight="1">
      <c r="A159" s="33"/>
      <c r="B159" s="33"/>
      <c r="C159" s="14"/>
      <c r="D159" s="287"/>
      <c r="E159" s="282"/>
      <c r="F159" s="282"/>
      <c r="G159" s="2"/>
    </row>
    <row r="160" spans="1:7" ht="13.95" customHeight="1">
      <c r="A160" s="413"/>
      <c r="B160" s="1503" t="s">
        <v>136</v>
      </c>
      <c r="C160" s="14"/>
      <c r="D160" s="2143" t="s">
        <v>1744</v>
      </c>
      <c r="E160" s="2143"/>
      <c r="F160" s="2143"/>
      <c r="G160" s="2"/>
    </row>
    <row r="161" spans="1:7" ht="13.95" customHeight="1">
      <c r="A161" s="33"/>
      <c r="B161" s="33"/>
      <c r="C161" s="14"/>
      <c r="D161" s="2143"/>
      <c r="E161" s="2143"/>
      <c r="F161" s="2143"/>
    </row>
    <row r="162" spans="1:7" ht="13.95" customHeight="1">
      <c r="A162" s="33"/>
      <c r="B162" s="33"/>
      <c r="C162" s="14"/>
      <c r="D162" s="2143"/>
      <c r="E162" s="2143"/>
      <c r="F162" s="2143"/>
    </row>
    <row r="163" spans="1:7" ht="13.95" customHeight="1">
      <c r="A163" s="33"/>
      <c r="B163" s="33"/>
      <c r="C163" s="14"/>
      <c r="D163" s="2143"/>
      <c r="E163" s="2143"/>
      <c r="F163" s="2143"/>
    </row>
    <row r="164" spans="1:7" ht="13.95" customHeight="1">
      <c r="A164" s="33"/>
      <c r="B164" s="33"/>
      <c r="C164" s="14"/>
      <c r="D164" s="287"/>
      <c r="E164" s="282"/>
      <c r="F164" s="282"/>
    </row>
    <row r="165" spans="1:7" ht="13.95" customHeight="1">
      <c r="A165" s="592"/>
      <c r="B165" s="1503" t="s">
        <v>136</v>
      </c>
      <c r="C165" s="591"/>
      <c r="D165" s="2133" t="s">
        <v>1745</v>
      </c>
      <c r="E165" s="2133"/>
      <c r="F165" s="2133"/>
      <c r="G165" s="714"/>
    </row>
    <row r="166" spans="1:7" ht="13.95" customHeight="1">
      <c r="A166" s="592"/>
      <c r="B166" s="592"/>
      <c r="C166" s="591"/>
      <c r="D166" s="2133"/>
      <c r="E166" s="2133"/>
      <c r="F166" s="2133"/>
      <c r="G166" s="714"/>
    </row>
    <row r="167" spans="1:7" ht="13.95" customHeight="1">
      <c r="A167" s="592"/>
      <c r="B167" s="592"/>
      <c r="C167" s="591"/>
      <c r="D167" s="2133"/>
      <c r="E167" s="2133"/>
      <c r="F167" s="2133"/>
      <c r="G167" s="714"/>
    </row>
    <row r="168" spans="1:7" ht="13.2">
      <c r="A168" s="592"/>
      <c r="B168" s="592"/>
      <c r="C168" s="591"/>
      <c r="D168" s="594"/>
      <c r="E168" s="582"/>
      <c r="F168" s="582"/>
      <c r="G168" s="714"/>
    </row>
    <row r="169" spans="1:7" ht="13.2">
      <c r="A169" s="2138" t="s">
        <v>1541</v>
      </c>
      <c r="B169" s="2138"/>
      <c r="C169" s="2138"/>
      <c r="D169" s="2138"/>
      <c r="E169" s="2138"/>
      <c r="F169" s="2138"/>
      <c r="G169" s="2138"/>
    </row>
    <row r="170" spans="1:7" ht="13.2">
      <c r="A170" s="140"/>
      <c r="B170" s="140"/>
      <c r="C170" s="14"/>
      <c r="D170" s="287"/>
      <c r="E170" s="282"/>
      <c r="F170" s="282"/>
    </row>
    <row r="171" spans="1:7" ht="13.2">
      <c r="A171" s="140"/>
      <c r="B171" s="140"/>
      <c r="C171" s="926"/>
      <c r="D171" s="2129" t="s">
        <v>1540</v>
      </c>
      <c r="E171" s="2129"/>
      <c r="F171" s="2129"/>
    </row>
    <row r="172" spans="1:7" ht="13.2">
      <c r="A172" s="414"/>
      <c r="B172" s="414"/>
      <c r="C172" s="298"/>
      <c r="D172" s="2134" t="s">
        <v>1576</v>
      </c>
      <c r="E172" s="2134"/>
      <c r="F172" s="2134"/>
    </row>
    <row r="173" spans="1:7" ht="13.2">
      <c r="A173" s="415"/>
      <c r="B173" s="415"/>
      <c r="C173" s="299"/>
      <c r="D173" s="282"/>
      <c r="E173" s="282"/>
      <c r="F173" s="282"/>
    </row>
    <row r="174" spans="1:7" ht="14.4">
      <c r="A174" s="413"/>
      <c r="B174" s="950" t="s">
        <v>1533</v>
      </c>
      <c r="C174" s="302"/>
      <c r="D174" s="2135" t="s">
        <v>1960</v>
      </c>
      <c r="E174" s="2136"/>
      <c r="F174" s="2136"/>
      <c r="G174" s="288"/>
    </row>
    <row r="175" spans="1:7" ht="14.4">
      <c r="A175" s="413"/>
      <c r="B175" s="417"/>
      <c r="C175" s="302"/>
      <c r="D175" s="1290"/>
      <c r="E175" s="1289"/>
      <c r="F175" s="1289"/>
      <c r="G175" s="288"/>
    </row>
    <row r="176" spans="1:7" ht="14.4">
      <c r="A176" s="413"/>
      <c r="B176" s="950" t="s">
        <v>1533</v>
      </c>
      <c r="C176" s="302"/>
      <c r="D176" s="2136" t="s">
        <v>1746</v>
      </c>
      <c r="E176" s="2136"/>
      <c r="F176" s="2136"/>
      <c r="G176" s="288"/>
    </row>
    <row r="177" spans="1:7" ht="14.4">
      <c r="A177" s="413"/>
      <c r="B177" s="417"/>
      <c r="C177" s="302"/>
      <c r="D177" s="1289"/>
      <c r="E177" s="1289"/>
      <c r="F177" s="1289"/>
      <c r="G177" s="288"/>
    </row>
    <row r="178" spans="1:7" ht="14.4">
      <c r="A178" s="413"/>
      <c r="B178" s="1291" t="s">
        <v>1533</v>
      </c>
      <c r="C178" s="302"/>
      <c r="D178" s="2139" t="s">
        <v>2049</v>
      </c>
      <c r="E178" s="2139"/>
      <c r="F178" s="2139"/>
      <c r="G178" s="288"/>
    </row>
    <row r="179" spans="1:7" ht="13.65" customHeight="1">
      <c r="A179" s="413"/>
      <c r="B179" s="417"/>
      <c r="C179" s="302"/>
      <c r="D179" s="1293" t="s">
        <v>1004</v>
      </c>
      <c r="E179" s="1508" t="s">
        <v>2051</v>
      </c>
      <c r="F179" s="1508"/>
      <c r="G179" s="288"/>
    </row>
    <row r="180" spans="1:7" ht="14.4">
      <c r="A180" s="413"/>
      <c r="B180" s="417"/>
      <c r="C180" s="302"/>
      <c r="D180" s="1292"/>
      <c r="E180" s="1508"/>
      <c r="F180" s="1508"/>
      <c r="G180" s="288"/>
    </row>
    <row r="181" spans="1:7" ht="14.4">
      <c r="A181" s="413"/>
      <c r="B181" s="417"/>
      <c r="C181" s="302"/>
      <c r="D181" s="1292"/>
      <c r="E181" s="1508"/>
      <c r="F181" s="1508"/>
      <c r="G181" s="288"/>
    </row>
    <row r="182" spans="1:7" ht="14.4">
      <c r="A182" s="413"/>
      <c r="B182" s="417"/>
      <c r="C182" s="302"/>
      <c r="D182" s="2"/>
      <c r="E182" s="1508"/>
      <c r="F182" s="1508"/>
      <c r="G182" s="288"/>
    </row>
    <row r="183" spans="1:7" ht="13.65" customHeight="1">
      <c r="A183" s="413"/>
      <c r="B183" s="417"/>
      <c r="C183" s="302"/>
      <c r="D183" s="1292" t="s">
        <v>1005</v>
      </c>
      <c r="E183" s="2095" t="s">
        <v>2050</v>
      </c>
      <c r="F183" s="2095"/>
      <c r="G183" s="288"/>
    </row>
    <row r="184" spans="1:7" ht="13.65" customHeight="1">
      <c r="A184" s="413"/>
      <c r="B184" s="417"/>
      <c r="C184" s="302"/>
      <c r="D184" s="1292"/>
      <c r="E184" s="2095"/>
      <c r="F184" s="2095"/>
      <c r="G184" s="288"/>
    </row>
    <row r="185" spans="1:7" ht="13.65" customHeight="1">
      <c r="A185" s="413"/>
      <c r="B185" s="417"/>
      <c r="C185" s="302"/>
      <c r="D185" s="1292"/>
      <c r="E185" s="2095"/>
      <c r="F185" s="2095"/>
      <c r="G185" s="288"/>
    </row>
    <row r="186" spans="1:7" ht="13.65" customHeight="1">
      <c r="A186" s="413"/>
      <c r="B186" s="417"/>
      <c r="C186" s="302"/>
      <c r="D186" s="1292"/>
      <c r="E186" s="2095"/>
      <c r="F186" s="2095"/>
      <c r="G186" s="288"/>
    </row>
    <row r="187" spans="1:7" ht="13.65" customHeight="1">
      <c r="A187" s="413"/>
      <c r="B187" s="417"/>
      <c r="C187" s="302"/>
      <c r="D187" s="1292"/>
      <c r="E187" s="2095"/>
      <c r="F187" s="2095"/>
      <c r="G187" s="288"/>
    </row>
    <row r="188" spans="1:7" ht="14.4">
      <c r="A188" s="413"/>
      <c r="B188" s="417"/>
      <c r="C188" s="302"/>
      <c r="D188" s="2"/>
      <c r="E188" s="2095"/>
      <c r="F188" s="2095"/>
      <c r="G188" s="288"/>
    </row>
    <row r="189" spans="1:7" ht="14.4">
      <c r="A189" s="413"/>
      <c r="B189" s="417"/>
      <c r="C189" s="302"/>
      <c r="D189" s="2"/>
      <c r="E189" s="2095"/>
      <c r="F189" s="2095"/>
      <c r="G189" s="288"/>
    </row>
    <row r="190" spans="1:7" ht="13.2">
      <c r="A190" s="417"/>
      <c r="B190" s="417"/>
      <c r="C190" s="302"/>
      <c r="D190" s="282"/>
      <c r="E190" s="283"/>
      <c r="F190" s="283"/>
      <c r="G190" s="288"/>
    </row>
    <row r="191" spans="1:7" ht="14.4">
      <c r="A191" s="413"/>
      <c r="B191" s="1503" t="s">
        <v>136</v>
      </c>
      <c r="C191" s="302"/>
      <c r="D191" s="1515" t="s">
        <v>1747</v>
      </c>
      <c r="E191" s="1515"/>
      <c r="F191" s="1515"/>
      <c r="G191" s="288"/>
    </row>
    <row r="192" spans="1:7" ht="14.4">
      <c r="A192" s="413"/>
      <c r="B192" s="413"/>
      <c r="C192" s="302"/>
      <c r="D192" s="1515"/>
      <c r="E192" s="1515"/>
      <c r="F192" s="1515"/>
      <c r="G192" s="288"/>
    </row>
    <row r="193" spans="1:7" ht="14.4">
      <c r="A193" s="413"/>
      <c r="B193" s="413"/>
      <c r="C193" s="302"/>
      <c r="D193" s="1515"/>
      <c r="E193" s="1515"/>
      <c r="F193" s="1515"/>
      <c r="G193" s="288"/>
    </row>
    <row r="194" spans="1:7" ht="14.4">
      <c r="A194" s="413"/>
      <c r="B194" s="413"/>
      <c r="C194" s="302"/>
      <c r="D194" s="1515"/>
      <c r="E194" s="1515"/>
      <c r="F194" s="1515"/>
      <c r="G194" s="288"/>
    </row>
    <row r="195" spans="1:7" ht="13.2">
      <c r="A195" s="417"/>
      <c r="B195" s="417"/>
      <c r="C195" s="302"/>
      <c r="D195" s="2137" t="s">
        <v>2048</v>
      </c>
      <c r="E195" s="2137"/>
      <c r="F195" s="2137"/>
      <c r="G195" s="288"/>
    </row>
    <row r="196" spans="1:7" ht="13.2">
      <c r="A196" s="417"/>
      <c r="B196" s="417"/>
      <c r="C196" s="302"/>
      <c r="D196" s="987"/>
      <c r="E196" s="987"/>
      <c r="F196" s="987"/>
      <c r="G196" s="288"/>
    </row>
    <row r="197" spans="1:7" ht="14.4">
      <c r="A197" s="413"/>
      <c r="B197" s="1503" t="s">
        <v>136</v>
      </c>
      <c r="C197" s="302"/>
      <c r="D197" s="2123" t="s">
        <v>1748</v>
      </c>
      <c r="E197" s="2123"/>
      <c r="F197" s="2123"/>
      <c r="G197" s="288"/>
    </row>
    <row r="198" spans="1:7" ht="13.2">
      <c r="A198" s="417"/>
      <c r="B198" s="417"/>
      <c r="C198" s="302"/>
      <c r="D198" s="283"/>
      <c r="E198" s="283"/>
      <c r="F198" s="283"/>
      <c r="G198" s="288"/>
    </row>
    <row r="199" spans="1:7" ht="13.2">
      <c r="A199" s="2138" t="s">
        <v>1543</v>
      </c>
      <c r="B199" s="2138"/>
      <c r="C199" s="2138"/>
      <c r="D199" s="2138"/>
      <c r="E199" s="2138"/>
      <c r="F199" s="2138"/>
      <c r="G199" s="2138"/>
    </row>
    <row r="200" spans="1:7" ht="13.2">
      <c r="A200" s="417"/>
      <c r="B200" s="417"/>
      <c r="C200" s="302"/>
      <c r="D200" s="282"/>
      <c r="E200" s="283"/>
      <c r="F200" s="283"/>
      <c r="G200" s="288"/>
    </row>
    <row r="201" spans="1:7" ht="13.2">
      <c r="A201" s="140"/>
      <c r="B201" s="140"/>
      <c r="C201" s="927"/>
      <c r="D201" s="2172" t="s">
        <v>1542</v>
      </c>
      <c r="E201" s="2172"/>
      <c r="F201" s="2172"/>
      <c r="G201" s="288"/>
    </row>
    <row r="202" spans="1:7" ht="13.2">
      <c r="A202" s="928"/>
      <c r="B202" s="928"/>
      <c r="C202" s="927"/>
      <c r="D202" s="2172" t="s">
        <v>763</v>
      </c>
      <c r="E202" s="2172"/>
      <c r="F202" s="2172"/>
      <c r="G202" s="288"/>
    </row>
    <row r="203" spans="1:7" ht="13.2">
      <c r="A203" s="414"/>
      <c r="B203" s="414"/>
      <c r="C203" s="298"/>
      <c r="D203" s="2136" t="s">
        <v>1577</v>
      </c>
      <c r="E203" s="2136"/>
      <c r="F203" s="2136"/>
      <c r="G203" s="288"/>
    </row>
    <row r="204" spans="1:7" ht="13.2">
      <c r="A204" s="414"/>
      <c r="B204" s="414"/>
      <c r="C204" s="298"/>
      <c r="D204" s="283"/>
      <c r="E204" s="283"/>
      <c r="F204" s="283"/>
      <c r="G204" s="288"/>
    </row>
    <row r="205" spans="1:7" ht="13.2">
      <c r="A205" s="414"/>
      <c r="B205" s="414"/>
      <c r="C205" s="298"/>
      <c r="D205" s="2154" t="s">
        <v>1587</v>
      </c>
      <c r="E205" s="2154"/>
      <c r="F205" s="2154"/>
      <c r="G205" s="288"/>
    </row>
    <row r="206" spans="1:7" ht="13.2">
      <c r="A206" s="414"/>
      <c r="B206" s="414"/>
      <c r="C206" s="298"/>
      <c r="D206" s="2154"/>
      <c r="E206" s="2154"/>
      <c r="F206" s="2154"/>
      <c r="G206" s="288"/>
    </row>
    <row r="207" spans="1:7" ht="13.2">
      <c r="A207" s="414"/>
      <c r="B207" s="414"/>
      <c r="C207" s="298"/>
      <c r="D207" s="2154"/>
      <c r="E207" s="2154"/>
      <c r="F207" s="2154"/>
      <c r="G207" s="288"/>
    </row>
    <row r="208" spans="1:7" ht="13.2">
      <c r="A208" s="414"/>
      <c r="B208" s="414"/>
      <c r="C208" s="298"/>
      <c r="D208" s="2154"/>
      <c r="E208" s="2154"/>
      <c r="F208" s="2154"/>
      <c r="G208" s="288"/>
    </row>
    <row r="209" spans="1:7" ht="13.2">
      <c r="A209" s="414"/>
      <c r="B209" s="414"/>
      <c r="C209" s="298"/>
      <c r="D209" s="288"/>
      <c r="E209" s="283"/>
      <c r="F209" s="283"/>
      <c r="G209" s="288"/>
    </row>
    <row r="210" spans="1:7" ht="13.2">
      <c r="A210" s="414"/>
      <c r="B210" s="414"/>
      <c r="C210" s="298"/>
      <c r="D210" s="2171" t="s">
        <v>2053</v>
      </c>
      <c r="E210" s="2154"/>
      <c r="F210" s="2154"/>
      <c r="G210" s="288"/>
    </row>
    <row r="211" spans="1:7" ht="13.2">
      <c r="A211" s="414"/>
      <c r="B211" s="414"/>
      <c r="C211" s="298"/>
      <c r="D211" s="2154"/>
      <c r="E211" s="2154"/>
      <c r="F211" s="2154"/>
      <c r="G211" s="288"/>
    </row>
    <row r="212" spans="1:7" ht="13.2">
      <c r="A212" s="414"/>
      <c r="B212" s="414"/>
      <c r="C212" s="298"/>
      <c r="D212" s="2154"/>
      <c r="E212" s="2154"/>
      <c r="F212" s="2154"/>
      <c r="G212" s="288"/>
    </row>
    <row r="213" spans="1:7" ht="13.2">
      <c r="A213" s="414"/>
      <c r="B213" s="414"/>
      <c r="C213" s="298"/>
      <c r="D213" s="2154"/>
      <c r="E213" s="2154"/>
      <c r="F213" s="2154"/>
      <c r="G213" s="288"/>
    </row>
    <row r="214" spans="1:7" ht="13.2">
      <c r="A214" s="414"/>
      <c r="B214" s="414"/>
      <c r="C214" s="298"/>
      <c r="D214" s="2154"/>
      <c r="E214" s="2154"/>
      <c r="F214" s="2154"/>
      <c r="G214" s="288"/>
    </row>
    <row r="215" spans="1:7" ht="13.2">
      <c r="A215" s="414"/>
      <c r="B215" s="414"/>
      <c r="C215" s="298"/>
      <c r="D215" s="2154"/>
      <c r="E215" s="2154"/>
      <c r="F215" s="2154"/>
      <c r="G215" s="288"/>
    </row>
    <row r="216" spans="1:7" ht="13.2">
      <c r="A216" s="415"/>
      <c r="B216" s="415"/>
      <c r="C216" s="299"/>
      <c r="D216" s="282"/>
      <c r="E216" s="283"/>
      <c r="F216" s="283"/>
      <c r="G216" s="288"/>
    </row>
    <row r="217" spans="1:7" ht="14.4" customHeight="1">
      <c r="A217" s="413"/>
      <c r="B217" s="950" t="s">
        <v>1533</v>
      </c>
      <c r="C217" s="299"/>
      <c r="D217" s="2089" t="s">
        <v>322</v>
      </c>
      <c r="E217" s="2089"/>
      <c r="F217" s="2089"/>
      <c r="G217" s="288"/>
    </row>
    <row r="218" spans="1:7" ht="14.4">
      <c r="A218" s="413"/>
      <c r="B218" s="14"/>
      <c r="C218" s="299"/>
      <c r="D218" s="2107" t="s">
        <v>1230</v>
      </c>
      <c r="E218" s="2107"/>
      <c r="F218" s="2107"/>
      <c r="G218" s="288"/>
    </row>
    <row r="219" spans="1:7" ht="14.4">
      <c r="A219" s="413"/>
      <c r="B219" s="413"/>
      <c r="C219" s="299"/>
      <c r="D219" s="956" t="s">
        <v>1595</v>
      </c>
      <c r="E219" s="2153" t="s">
        <v>1594</v>
      </c>
      <c r="F219" s="2153"/>
      <c r="G219" s="288"/>
    </row>
    <row r="220" spans="1:7" ht="13.2">
      <c r="A220" s="417"/>
      <c r="B220" s="417"/>
      <c r="C220" s="302"/>
      <c r="D220" s="2161" t="s">
        <v>1570</v>
      </c>
      <c r="E220" s="2107"/>
      <c r="F220" s="2107"/>
      <c r="G220" s="288"/>
    </row>
    <row r="221" spans="1:7" ht="13.2">
      <c r="A221" s="417"/>
      <c r="B221" s="417"/>
      <c r="C221" s="302"/>
      <c r="D221" s="283"/>
      <c r="E221" s="283"/>
      <c r="F221" s="283"/>
      <c r="G221" s="288"/>
    </row>
    <row r="222" spans="1:7" ht="14.4">
      <c r="A222" s="413"/>
      <c r="B222" s="1503" t="s">
        <v>136</v>
      </c>
      <c r="C222" s="302"/>
      <c r="D222" s="2107" t="s">
        <v>323</v>
      </c>
      <c r="E222" s="2107"/>
      <c r="F222" s="2107"/>
      <c r="G222" s="288"/>
    </row>
    <row r="223" spans="1:7" ht="14.4">
      <c r="A223" s="413"/>
      <c r="B223" s="14"/>
      <c r="C223" s="302"/>
      <c r="D223" s="2089" t="s">
        <v>1230</v>
      </c>
      <c r="E223" s="2089"/>
      <c r="F223" s="2089"/>
      <c r="G223" s="288"/>
    </row>
    <row r="224" spans="1:7" ht="14.4">
      <c r="A224" s="413"/>
      <c r="B224" s="413"/>
      <c r="C224" s="302"/>
      <c r="D224" s="300" t="s">
        <v>1596</v>
      </c>
      <c r="E224" s="2160" t="s">
        <v>1597</v>
      </c>
      <c r="F224" s="2160"/>
      <c r="G224" s="288"/>
    </row>
    <row r="225" spans="1:7" ht="13.2">
      <c r="A225" s="417"/>
      <c r="B225" s="417"/>
      <c r="C225" s="302"/>
      <c r="D225" s="2107" t="s">
        <v>1571</v>
      </c>
      <c r="E225" s="2107"/>
      <c r="F225" s="2107"/>
      <c r="G225" s="288"/>
    </row>
    <row r="226" spans="1:7" ht="13.2">
      <c r="A226" s="417"/>
      <c r="B226" s="417"/>
      <c r="C226" s="302"/>
      <c r="D226" s="283"/>
      <c r="E226" s="283"/>
      <c r="F226" s="283"/>
      <c r="G226" s="288"/>
    </row>
    <row r="227" spans="1:7" ht="14.4">
      <c r="A227" s="413"/>
      <c r="B227" s="950" t="s">
        <v>1533</v>
      </c>
      <c r="C227" s="302"/>
      <c r="D227" s="2107" t="s">
        <v>707</v>
      </c>
      <c r="E227" s="2107"/>
      <c r="F227" s="2107"/>
      <c r="G227" s="288"/>
    </row>
    <row r="228" spans="1:7" ht="14.4">
      <c r="A228" s="413"/>
      <c r="B228" s="14"/>
      <c r="C228" s="302"/>
      <c r="D228" s="287" t="s">
        <v>1230</v>
      </c>
      <c r="E228" s="283"/>
      <c r="F228" s="283"/>
      <c r="G228" s="288"/>
    </row>
    <row r="229" spans="1:7" ht="14.4">
      <c r="A229" s="413"/>
      <c r="B229" s="413"/>
      <c r="C229" s="302"/>
      <c r="D229" s="300" t="s">
        <v>1595</v>
      </c>
      <c r="E229" s="2160" t="s">
        <v>1598</v>
      </c>
      <c r="F229" s="2160"/>
      <c r="G229" s="288"/>
    </row>
    <row r="230" spans="1:7" ht="14.4">
      <c r="A230" s="413"/>
      <c r="B230" s="413"/>
      <c r="C230" s="302"/>
      <c r="D230" s="2088" t="s">
        <v>1600</v>
      </c>
      <c r="E230" s="2088"/>
      <c r="F230" s="2088"/>
      <c r="G230" s="288"/>
    </row>
    <row r="231" spans="1:7" ht="13.2">
      <c r="A231" s="417"/>
      <c r="B231" s="417"/>
      <c r="C231" s="302"/>
      <c r="D231" s="2088"/>
      <c r="E231" s="2088"/>
      <c r="F231" s="2088"/>
      <c r="G231" s="288"/>
    </row>
    <row r="232" spans="1:7" ht="13.2">
      <c r="A232" s="417"/>
      <c r="B232" s="417"/>
      <c r="C232" s="302"/>
      <c r="D232" s="2088"/>
      <c r="E232" s="2088"/>
      <c r="F232" s="2088"/>
      <c r="G232" s="288"/>
    </row>
    <row r="233" spans="1:7" ht="13.2">
      <c r="A233" s="417"/>
      <c r="B233" s="417"/>
      <c r="C233" s="302"/>
      <c r="D233" s="2088"/>
      <c r="E233" s="2088"/>
      <c r="F233" s="2088"/>
      <c r="G233" s="288"/>
    </row>
    <row r="234" spans="1:7" ht="13.2">
      <c r="A234" s="417"/>
      <c r="B234" s="417"/>
      <c r="C234" s="302"/>
      <c r="D234" s="2088"/>
      <c r="E234" s="2088"/>
      <c r="F234" s="2088"/>
      <c r="G234" s="288"/>
    </row>
    <row r="235" spans="1:7" ht="13.2">
      <c r="A235" s="417"/>
      <c r="B235" s="417"/>
      <c r="C235" s="302"/>
      <c r="D235" s="2088" t="s">
        <v>1572</v>
      </c>
      <c r="E235" s="2088"/>
      <c r="F235" s="2088"/>
      <c r="G235" s="288"/>
    </row>
    <row r="236" spans="1:7" ht="13.2">
      <c r="A236" s="417"/>
      <c r="B236" s="417"/>
      <c r="C236" s="302"/>
      <c r="D236" s="287"/>
      <c r="E236" s="283"/>
      <c r="F236" s="283"/>
      <c r="G236" s="288"/>
    </row>
    <row r="237" spans="1:7" ht="14.4">
      <c r="A237" s="413"/>
      <c r="B237" s="1503" t="s">
        <v>136</v>
      </c>
      <c r="C237" s="302"/>
      <c r="D237" s="2107" t="s">
        <v>708</v>
      </c>
      <c r="E237" s="2107"/>
      <c r="F237" s="2107"/>
      <c r="G237" s="288"/>
    </row>
    <row r="238" spans="1:7" ht="14.4">
      <c r="A238" s="413"/>
      <c r="B238" s="14"/>
      <c r="C238" s="302"/>
      <c r="D238" s="2107" t="s">
        <v>1230</v>
      </c>
      <c r="E238" s="2107"/>
      <c r="F238" s="2107"/>
      <c r="G238" s="288"/>
    </row>
    <row r="239" spans="1:7" ht="14.4">
      <c r="A239" s="413"/>
      <c r="B239" s="413"/>
      <c r="C239" s="302"/>
      <c r="D239" s="300" t="s">
        <v>1595</v>
      </c>
      <c r="E239" s="2160" t="s">
        <v>1601</v>
      </c>
      <c r="F239" s="2160"/>
      <c r="G239" s="288"/>
    </row>
    <row r="240" spans="1:7" ht="13.2">
      <c r="A240" s="417"/>
      <c r="B240" s="417"/>
      <c r="C240" s="302"/>
      <c r="D240" s="2161" t="s">
        <v>2213</v>
      </c>
      <c r="E240" s="2107"/>
      <c r="F240" s="2107"/>
      <c r="G240" s="288"/>
    </row>
    <row r="241" spans="1:7" ht="13.2">
      <c r="A241" s="417"/>
      <c r="B241" s="417"/>
      <c r="C241" s="302"/>
      <c r="D241" s="1373"/>
      <c r="E241" s="1373"/>
      <c r="F241" s="1373"/>
      <c r="G241" s="288"/>
    </row>
    <row r="242" spans="1:7" ht="14.4">
      <c r="A242" s="413"/>
      <c r="B242" s="1503" t="s">
        <v>136</v>
      </c>
      <c r="C242" s="302"/>
      <c r="D242" s="2161" t="s">
        <v>2212</v>
      </c>
      <c r="E242" s="2107"/>
      <c r="F242" s="2107"/>
      <c r="G242" s="288"/>
    </row>
    <row r="243" spans="1:7" ht="14.4">
      <c r="A243" s="413"/>
      <c r="B243" s="14"/>
      <c r="C243" s="302"/>
      <c r="D243" s="2107" t="s">
        <v>1230</v>
      </c>
      <c r="E243" s="2107"/>
      <c r="F243" s="2107"/>
      <c r="G243" s="288"/>
    </row>
    <row r="244" spans="1:7" ht="14.4">
      <c r="A244" s="413"/>
      <c r="B244" s="413"/>
      <c r="C244" s="302"/>
      <c r="D244" s="1374" t="s">
        <v>1595</v>
      </c>
      <c r="E244" s="2160" t="s">
        <v>2214</v>
      </c>
      <c r="F244" s="2160"/>
      <c r="G244" s="288"/>
    </row>
    <row r="245" spans="1:7" ht="13.2">
      <c r="A245" s="417"/>
      <c r="B245" s="417"/>
      <c r="C245" s="302"/>
      <c r="D245" s="2161" t="s">
        <v>2215</v>
      </c>
      <c r="E245" s="2107"/>
      <c r="F245" s="2107"/>
      <c r="G245" s="288"/>
    </row>
    <row r="246" spans="1:7" ht="13.2">
      <c r="A246" s="417"/>
      <c r="B246" s="417"/>
      <c r="C246" s="302"/>
      <c r="D246" s="403"/>
      <c r="E246" s="288"/>
      <c r="F246" s="288"/>
      <c r="G246" s="288"/>
    </row>
    <row r="247" spans="1:7" ht="14.4">
      <c r="A247" s="413"/>
      <c r="B247" s="1503" t="s">
        <v>136</v>
      </c>
      <c r="D247" s="960" t="s">
        <v>1627</v>
      </c>
      <c r="E247" s="960"/>
      <c r="F247" s="960"/>
    </row>
    <row r="248" spans="1:7" ht="14.4">
      <c r="A248" s="413"/>
      <c r="B248" s="2"/>
      <c r="D248" s="2095" t="s">
        <v>1984</v>
      </c>
      <c r="E248" s="2088"/>
      <c r="F248" s="2088"/>
    </row>
    <row r="249" spans="1:7" ht="14.4">
      <c r="A249" s="413"/>
      <c r="B249" s="417"/>
      <c r="D249" s="2088"/>
      <c r="E249" s="2088"/>
      <c r="F249" s="2088"/>
    </row>
    <row r="250" spans="1:7" ht="14.4">
      <c r="A250" s="413"/>
      <c r="B250" s="417"/>
      <c r="D250" s="2088"/>
      <c r="E250" s="2088"/>
      <c r="F250" s="2088"/>
    </row>
    <row r="251" spans="1:7" ht="14.4">
      <c r="A251" s="413"/>
      <c r="B251" s="417"/>
      <c r="D251" s="959"/>
      <c r="E251" s="959"/>
      <c r="F251" s="959"/>
    </row>
    <row r="252" spans="1:7" ht="14.4">
      <c r="A252" s="413"/>
      <c r="B252" s="1503" t="s">
        <v>136</v>
      </c>
      <c r="D252" s="2155" t="s">
        <v>1134</v>
      </c>
      <c r="E252" s="2155"/>
      <c r="F252" s="2155"/>
    </row>
    <row r="253" spans="1:7" ht="14.4">
      <c r="A253" s="413"/>
      <c r="B253" s="417"/>
      <c r="D253" s="960"/>
      <c r="E253" s="960"/>
      <c r="F253" s="960"/>
    </row>
    <row r="254" spans="1:7" ht="13.2">
      <c r="A254" s="2138" t="s">
        <v>1545</v>
      </c>
      <c r="B254" s="2138"/>
      <c r="C254" s="2138"/>
      <c r="D254" s="2138"/>
      <c r="E254" s="2138"/>
      <c r="F254" s="2138"/>
      <c r="G254" s="2138"/>
    </row>
    <row r="255" spans="1:7" ht="13.2">
      <c r="A255" s="140"/>
      <c r="B255" s="140"/>
      <c r="C255" s="14"/>
      <c r="D255" s="287"/>
      <c r="E255" s="282"/>
      <c r="F255" s="282"/>
    </row>
    <row r="256" spans="1:7" ht="13.2">
      <c r="A256" s="140"/>
      <c r="B256" s="140"/>
      <c r="C256" s="926"/>
      <c r="D256" s="2092" t="s">
        <v>1544</v>
      </c>
      <c r="E256" s="2092"/>
      <c r="F256" s="2092"/>
    </row>
    <row r="257" spans="1:7" ht="13.2">
      <c r="A257" s="414"/>
      <c r="B257" s="414"/>
      <c r="C257" s="298"/>
      <c r="D257" s="2089" t="s">
        <v>1578</v>
      </c>
      <c r="E257" s="2089"/>
      <c r="F257" s="2089"/>
    </row>
    <row r="258" spans="1:7" ht="13.2">
      <c r="A258" s="33"/>
      <c r="B258" s="33"/>
      <c r="C258" s="320"/>
      <c r="D258" s="6"/>
      <c r="E258" s="282"/>
      <c r="F258" s="282"/>
    </row>
    <row r="259" spans="1:7" ht="13.2">
      <c r="A259" s="33"/>
      <c r="B259" s="14"/>
      <c r="C259" s="320"/>
      <c r="D259" s="2092" t="s">
        <v>232</v>
      </c>
      <c r="E259" s="2092"/>
      <c r="F259" s="2092"/>
      <c r="G259" s="2"/>
    </row>
    <row r="260" spans="1:7" ht="14.4" customHeight="1">
      <c r="A260" s="413"/>
      <c r="B260" s="1390" t="s">
        <v>1533</v>
      </c>
      <c r="C260" s="1485"/>
      <c r="D260" s="2086" t="s">
        <v>2314</v>
      </c>
      <c r="E260" s="2086"/>
      <c r="F260" s="2086"/>
      <c r="G260" s="2"/>
    </row>
    <row r="261" spans="1:7" ht="14.4">
      <c r="A261" s="413"/>
      <c r="B261" s="1486"/>
      <c r="C261" s="1485"/>
      <c r="D261" s="2086"/>
      <c r="E261" s="2086"/>
      <c r="F261" s="2086"/>
      <c r="G261" s="2"/>
    </row>
    <row r="262" spans="1:7" ht="14.4">
      <c r="A262" s="413"/>
      <c r="B262" s="1486"/>
      <c r="C262" s="1485"/>
      <c r="D262" s="2086"/>
      <c r="E262" s="2086"/>
      <c r="F262" s="2086"/>
      <c r="G262" s="2"/>
    </row>
    <row r="263" spans="1:7" ht="14.4" customHeight="1">
      <c r="A263" s="413"/>
      <c r="B263" s="1486"/>
      <c r="C263" s="1485"/>
      <c r="D263" s="2086"/>
      <c r="E263" s="2086"/>
      <c r="F263" s="2086"/>
      <c r="G263" s="2"/>
    </row>
    <row r="264" spans="1:7" ht="14.4">
      <c r="A264" s="413"/>
      <c r="B264" s="1486"/>
      <c r="C264" s="1485"/>
      <c r="D264" s="1487"/>
      <c r="E264" s="1487"/>
      <c r="F264" s="1487"/>
      <c r="G264" s="2"/>
    </row>
    <row r="265" spans="1:7" ht="14.4">
      <c r="A265" s="413"/>
      <c r="B265" s="1390" t="s">
        <v>1533</v>
      </c>
      <c r="C265" s="1485"/>
      <c r="D265" s="2086" t="s">
        <v>2315</v>
      </c>
      <c r="E265" s="2086"/>
      <c r="F265" s="2086"/>
      <c r="G265" s="2"/>
    </row>
    <row r="266" spans="1:7" ht="14.4">
      <c r="A266" s="413"/>
      <c r="B266" s="1486"/>
      <c r="C266" s="1485"/>
      <c r="D266" s="2086"/>
      <c r="E266" s="2086"/>
      <c r="F266" s="2086"/>
      <c r="G266" s="2"/>
    </row>
    <row r="267" spans="1:7" ht="14.4">
      <c r="A267" s="413"/>
      <c r="B267" s="1486"/>
      <c r="C267" s="1485"/>
      <c r="D267" s="2086"/>
      <c r="E267" s="2086"/>
      <c r="F267" s="2086"/>
      <c r="G267" s="2"/>
    </row>
    <row r="268" spans="1:7" ht="14.4">
      <c r="A268" s="413"/>
      <c r="B268" s="1486"/>
      <c r="C268" s="1485"/>
      <c r="D268" s="2086"/>
      <c r="E268" s="2086"/>
      <c r="F268" s="2086"/>
      <c r="G268" s="2"/>
    </row>
    <row r="269" spans="1:7" ht="14.4">
      <c r="A269" s="413"/>
      <c r="B269" s="1486"/>
      <c r="C269" s="1485"/>
      <c r="D269" s="2086"/>
      <c r="E269" s="2086"/>
      <c r="F269" s="2086"/>
      <c r="G269" s="2"/>
    </row>
    <row r="270" spans="1:7" ht="14.4">
      <c r="A270" s="413"/>
      <c r="B270" s="1486"/>
      <c r="C270" s="1485"/>
      <c r="D270" s="1487"/>
      <c r="E270" s="1487"/>
      <c r="F270" s="1487"/>
      <c r="G270" s="2"/>
    </row>
    <row r="271" spans="1:7" ht="14.4">
      <c r="A271" s="413"/>
      <c r="B271" s="1486"/>
      <c r="C271" s="1485"/>
      <c r="D271" s="2086" t="s">
        <v>1759</v>
      </c>
      <c r="E271" s="2086"/>
      <c r="F271" s="2086"/>
      <c r="G271" s="2"/>
    </row>
    <row r="272" spans="1:7" ht="14.4">
      <c r="A272" s="413"/>
      <c r="B272" s="1486"/>
      <c r="C272" s="1485"/>
      <c r="D272" s="2086"/>
      <c r="E272" s="2086"/>
      <c r="F272" s="2086"/>
      <c r="G272" s="2"/>
    </row>
    <row r="273" spans="1:7" ht="14.4">
      <c r="A273" s="413"/>
      <c r="B273" s="1486"/>
      <c r="C273" s="1485"/>
      <c r="D273" s="2086"/>
      <c r="E273" s="2086"/>
      <c r="F273" s="2086"/>
      <c r="G273" s="2"/>
    </row>
    <row r="274" spans="1:7" ht="14.4">
      <c r="A274" s="413"/>
      <c r="B274" s="1486"/>
      <c r="C274" s="1485"/>
      <c r="D274" s="2086"/>
      <c r="E274" s="2086"/>
      <c r="F274" s="2086"/>
      <c r="G274" s="2"/>
    </row>
    <row r="275" spans="1:7" ht="14.4">
      <c r="A275" s="413"/>
      <c r="B275" s="1486"/>
      <c r="C275" s="1485"/>
      <c r="D275" s="2086"/>
      <c r="E275" s="2086"/>
      <c r="F275" s="2086"/>
      <c r="G275" s="2"/>
    </row>
    <row r="276" spans="1:7" ht="14.4">
      <c r="A276" s="413"/>
      <c r="B276" s="413"/>
      <c r="C276" s="14"/>
      <c r="D276" s="980"/>
      <c r="E276" s="980"/>
      <c r="F276" s="980"/>
      <c r="G276" s="2"/>
    </row>
    <row r="277" spans="1:7" s="770" customFormat="1" ht="14.4" customHeight="1">
      <c r="A277" s="1360"/>
      <c r="B277" s="1359" t="s">
        <v>136</v>
      </c>
      <c r="C277" s="1361"/>
      <c r="D277" s="2087" t="s">
        <v>2204</v>
      </c>
      <c r="E277" s="2087"/>
      <c r="F277" s="2087"/>
      <c r="G277" s="1362"/>
    </row>
    <row r="278" spans="1:7" s="770" customFormat="1" ht="14.4">
      <c r="A278" s="1360"/>
      <c r="B278" s="1361"/>
      <c r="C278" s="1361"/>
      <c r="D278" s="2087"/>
      <c r="E278" s="2087"/>
      <c r="F278" s="2087"/>
      <c r="G278" s="1362"/>
    </row>
    <row r="279" spans="1:7" s="770" customFormat="1" ht="14.4">
      <c r="A279" s="1360"/>
      <c r="B279" s="1361"/>
      <c r="C279" s="1361"/>
      <c r="D279" s="2087"/>
      <c r="E279" s="2087"/>
      <c r="F279" s="2087"/>
      <c r="G279" s="1362"/>
    </row>
    <row r="280" spans="1:7" s="770" customFormat="1" ht="13.2">
      <c r="A280" s="1361"/>
      <c r="B280" s="1361"/>
      <c r="C280" s="1361"/>
      <c r="D280" s="2183" t="s">
        <v>2205</v>
      </c>
      <c r="E280" s="2183"/>
      <c r="F280" s="2183"/>
      <c r="G280" s="1362"/>
    </row>
    <row r="281" spans="1:7" ht="14.4">
      <c r="A281" s="413"/>
      <c r="B281" s="413"/>
      <c r="C281" s="14"/>
      <c r="D281" s="287"/>
      <c r="E281" s="2"/>
      <c r="F281" s="2"/>
      <c r="G281" s="2"/>
    </row>
    <row r="282" spans="1:7" ht="14.4">
      <c r="A282" s="413"/>
      <c r="B282" s="950" t="s">
        <v>1533</v>
      </c>
      <c r="C282" s="14"/>
      <c r="D282" s="2089" t="s">
        <v>1231</v>
      </c>
      <c r="E282" s="2089"/>
      <c r="F282" s="2089"/>
      <c r="G282" s="2"/>
    </row>
    <row r="283" spans="1:7" ht="14.4">
      <c r="A283" s="413"/>
      <c r="B283" s="413"/>
      <c r="C283" s="14"/>
      <c r="D283" s="2089" t="s">
        <v>1760</v>
      </c>
      <c r="E283" s="2089"/>
      <c r="F283" s="2089"/>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1533</v>
      </c>
      <c r="C286" s="14"/>
      <c r="D286" s="2088" t="s">
        <v>1761</v>
      </c>
      <c r="E286" s="2088"/>
      <c r="F286" s="2088"/>
    </row>
    <row r="287" spans="1:7" ht="14.4">
      <c r="A287" s="413"/>
      <c r="B287" s="413"/>
      <c r="C287" s="14"/>
      <c r="D287" s="2088"/>
      <c r="E287" s="2088"/>
      <c r="F287" s="2088"/>
    </row>
    <row r="288" spans="1:7" ht="13.2">
      <c r="A288" s="140"/>
      <c r="B288" s="140"/>
      <c r="C288" s="14"/>
      <c r="D288" s="321"/>
      <c r="E288" s="282"/>
      <c r="F288" s="282"/>
    </row>
    <row r="289" spans="1:7" ht="13.2">
      <c r="A289" s="2138" t="s">
        <v>1547</v>
      </c>
      <c r="B289" s="2138"/>
      <c r="C289" s="2138"/>
      <c r="D289" s="2138"/>
      <c r="E289" s="2138"/>
      <c r="F289" s="2138"/>
      <c r="G289" s="2138"/>
    </row>
    <row r="290" spans="1:7" ht="13.2">
      <c r="A290" s="140"/>
      <c r="B290" s="140"/>
      <c r="C290" s="14"/>
      <c r="D290" s="321"/>
      <c r="E290" s="282"/>
      <c r="F290" s="282"/>
    </row>
    <row r="291" spans="1:7" ht="13.2">
      <c r="A291" s="140"/>
      <c r="B291" s="140"/>
      <c r="C291" s="926"/>
      <c r="D291" s="2092" t="s">
        <v>1546</v>
      </c>
      <c r="E291" s="2092"/>
      <c r="F291" s="2092"/>
    </row>
    <row r="292" spans="1:7" ht="13.2">
      <c r="A292" s="414"/>
      <c r="B292" s="414"/>
      <c r="C292" s="298"/>
      <c r="D292" s="287"/>
      <c r="E292" s="282"/>
      <c r="F292" s="282"/>
    </row>
    <row r="293" spans="1:7" ht="13.2">
      <c r="A293" s="415"/>
      <c r="B293" s="415"/>
      <c r="C293" s="299"/>
      <c r="D293" s="2092" t="s">
        <v>234</v>
      </c>
      <c r="E293" s="2092"/>
      <c r="F293" s="2092"/>
    </row>
    <row r="294" spans="1:7" ht="14.4" customHeight="1">
      <c r="A294" s="413"/>
      <c r="B294" s="950" t="s">
        <v>136</v>
      </c>
      <c r="C294" s="14"/>
      <c r="D294" s="2095" t="s">
        <v>2150</v>
      </c>
      <c r="E294" s="2088"/>
      <c r="F294" s="2088"/>
    </row>
    <row r="295" spans="1:7" ht="13.2">
      <c r="A295" s="140"/>
      <c r="B295" s="140"/>
      <c r="C295" s="14"/>
      <c r="D295" s="2088"/>
      <c r="E295" s="2088"/>
      <c r="F295" s="2088"/>
    </row>
    <row r="296" spans="1:7" ht="13.2">
      <c r="A296" s="140"/>
      <c r="B296" s="140"/>
      <c r="C296" s="14"/>
      <c r="D296" s="2088"/>
      <c r="E296" s="2088"/>
      <c r="F296" s="2088"/>
    </row>
    <row r="297" spans="1:7" ht="13.2">
      <c r="A297" s="1027"/>
      <c r="B297" s="1027"/>
      <c r="C297" s="14"/>
      <c r="D297" s="1358"/>
      <c r="E297" s="1358"/>
      <c r="F297" s="1358"/>
    </row>
    <row r="298" spans="1:7" s="770" customFormat="1" ht="14.4" customHeight="1">
      <c r="A298" s="1360"/>
      <c r="B298" s="1359" t="s">
        <v>136</v>
      </c>
      <c r="C298" s="1361"/>
      <c r="D298" s="2087" t="s">
        <v>2206</v>
      </c>
      <c r="E298" s="2087"/>
      <c r="F298" s="2087"/>
      <c r="G298" s="1362"/>
    </row>
    <row r="299" spans="1:7" s="770" customFormat="1" ht="13.2">
      <c r="A299" s="1361"/>
      <c r="B299" s="1361"/>
      <c r="C299" s="1361"/>
      <c r="D299" s="2087"/>
      <c r="E299" s="2087"/>
      <c r="F299" s="2087"/>
      <c r="G299" s="1362"/>
    </row>
    <row r="300" spans="1:7" s="770" customFormat="1" ht="13.2">
      <c r="A300" s="1361"/>
      <c r="B300" s="1361"/>
      <c r="C300" s="1361"/>
      <c r="D300" s="2087"/>
      <c r="E300" s="2087"/>
      <c r="F300" s="2087"/>
      <c r="G300" s="1362"/>
    </row>
    <row r="301" spans="1:7" s="770" customFormat="1" ht="13.2">
      <c r="A301" s="1361"/>
      <c r="B301" s="1361"/>
      <c r="C301" s="1361"/>
      <c r="D301" s="2184" t="s">
        <v>2207</v>
      </c>
      <c r="E301" s="2184"/>
      <c r="F301" s="2184"/>
      <c r="G301" s="1362"/>
    </row>
    <row r="302" spans="1:7" ht="13.2">
      <c r="A302" s="140"/>
      <c r="B302" s="140"/>
      <c r="C302" s="14"/>
      <c r="D302" s="332"/>
      <c r="E302" s="282"/>
      <c r="F302" s="282"/>
    </row>
    <row r="303" spans="1:7" ht="13.2">
      <c r="A303" s="2138" t="s">
        <v>1548</v>
      </c>
      <c r="B303" s="2138"/>
      <c r="C303" s="2138"/>
      <c r="D303" s="2138"/>
      <c r="E303" s="2138"/>
      <c r="F303" s="2138"/>
      <c r="G303" s="2138"/>
    </row>
    <row r="304" spans="1:7" ht="13.2">
      <c r="A304" s="140"/>
      <c r="B304" s="140"/>
      <c r="C304" s="14"/>
      <c r="D304" s="332"/>
      <c r="E304" s="282"/>
      <c r="F304" s="282"/>
    </row>
    <row r="305" spans="1:7" ht="13.2">
      <c r="A305" s="140"/>
      <c r="B305" s="140"/>
      <c r="C305" s="298"/>
      <c r="D305" s="2116" t="s">
        <v>1762</v>
      </c>
      <c r="E305" s="2116"/>
      <c r="F305" s="2116"/>
    </row>
    <row r="306" spans="1:7" ht="13.2">
      <c r="A306" s="140"/>
      <c r="B306" s="140"/>
      <c r="C306" s="298"/>
      <c r="D306" s="2116"/>
      <c r="E306" s="2116"/>
      <c r="F306" s="2116"/>
    </row>
    <row r="307" spans="1:7" ht="13.2">
      <c r="A307" s="415"/>
      <c r="B307" s="415"/>
      <c r="C307" s="299"/>
      <c r="D307" s="6"/>
      <c r="E307" s="282"/>
      <c r="F307" s="282"/>
    </row>
    <row r="308" spans="1:7" ht="13.2">
      <c r="A308" s="140"/>
      <c r="B308" s="140"/>
      <c r="C308" s="299"/>
      <c r="D308" s="2092" t="s">
        <v>179</v>
      </c>
      <c r="E308" s="2092"/>
      <c r="F308" s="2092"/>
    </row>
    <row r="309" spans="1:7" ht="14.4">
      <c r="A309" s="413"/>
      <c r="B309" s="413"/>
      <c r="C309" s="14"/>
      <c r="D309" s="2127" t="s">
        <v>1763</v>
      </c>
      <c r="E309" s="2127"/>
      <c r="F309" s="2127"/>
    </row>
    <row r="310" spans="1:7" ht="12" customHeight="1">
      <c r="A310" s="140"/>
      <c r="B310" s="140"/>
      <c r="C310" s="14"/>
      <c r="D310" s="282"/>
      <c r="E310" s="282"/>
      <c r="F310" s="282"/>
    </row>
    <row r="311" spans="1:7" ht="14.4" customHeight="1">
      <c r="A311" s="413"/>
      <c r="B311" s="1503" t="s">
        <v>136</v>
      </c>
      <c r="C311" s="14"/>
      <c r="D311" s="2088" t="s">
        <v>1764</v>
      </c>
      <c r="E311" s="2088"/>
      <c r="F311" s="2088"/>
    </row>
    <row r="312" spans="1:7" ht="14.4">
      <c r="A312" s="413"/>
      <c r="B312" s="413"/>
      <c r="C312" s="14"/>
      <c r="D312" s="2088"/>
      <c r="E312" s="2088"/>
      <c r="F312" s="2088"/>
    </row>
    <row r="313" spans="1:7" ht="13.2">
      <c r="A313" s="140"/>
      <c r="B313" s="140"/>
      <c r="C313" s="14"/>
      <c r="D313" s="282"/>
      <c r="E313" s="282"/>
      <c r="F313" s="282"/>
    </row>
    <row r="314" spans="1:7" ht="14.4" customHeight="1">
      <c r="A314" s="413"/>
      <c r="B314" s="1503" t="s">
        <v>136</v>
      </c>
      <c r="C314" s="14"/>
      <c r="D314" s="1977" t="s">
        <v>1765</v>
      </c>
      <c r="E314" s="1977"/>
      <c r="F314" s="1977"/>
    </row>
    <row r="315" spans="1:7" ht="14.4">
      <c r="A315" s="413"/>
      <c r="B315" s="413"/>
      <c r="C315" s="14"/>
      <c r="D315" s="1977"/>
      <c r="E315" s="1977"/>
      <c r="F315" s="1977"/>
    </row>
    <row r="316" spans="1:7" ht="14.4">
      <c r="A316" s="413"/>
      <c r="B316" s="413"/>
      <c r="C316" s="14"/>
      <c r="D316" s="1977"/>
      <c r="E316" s="1977"/>
      <c r="F316" s="1977"/>
    </row>
    <row r="317" spans="1:7" ht="13.2">
      <c r="A317" s="140"/>
      <c r="B317" s="140"/>
      <c r="C317" s="14"/>
      <c r="D317" s="143"/>
      <c r="E317"/>
      <c r="F317"/>
      <c r="G317"/>
    </row>
    <row r="318" spans="1:7" ht="14.4">
      <c r="A318" s="413"/>
      <c r="B318" s="1503" t="s">
        <v>136</v>
      </c>
      <c r="C318" s="14"/>
      <c r="D318" s="2088" t="s">
        <v>1766</v>
      </c>
      <c r="E318" s="2088"/>
      <c r="F318" s="2088"/>
    </row>
    <row r="319" spans="1:7" ht="14.4">
      <c r="A319" s="413"/>
      <c r="B319" s="413"/>
      <c r="C319" s="14"/>
      <c r="D319" s="2088"/>
      <c r="E319" s="2088"/>
      <c r="F319" s="2088"/>
    </row>
    <row r="320" spans="1:7" ht="13.2">
      <c r="A320" s="33"/>
      <c r="B320" s="33"/>
      <c r="C320" s="14"/>
      <c r="D320" s="287"/>
      <c r="E320" s="282"/>
      <c r="F320" s="282"/>
    </row>
    <row r="321" spans="1:7" ht="13.2">
      <c r="A321" s="2138" t="s">
        <v>1535</v>
      </c>
      <c r="B321" s="2138"/>
      <c r="C321" s="2138"/>
      <c r="D321" s="2138"/>
      <c r="E321" s="2138"/>
      <c r="F321" s="2138"/>
      <c r="G321" s="2138"/>
    </row>
    <row r="322" spans="1:7" ht="13.2">
      <c r="A322" s="33"/>
      <c r="B322" s="33"/>
      <c r="C322" s="14"/>
      <c r="D322" s="287"/>
      <c r="E322" s="282"/>
      <c r="F322" s="282"/>
      <c r="G322" s="2"/>
    </row>
    <row r="323" spans="1:7" ht="13.2">
      <c r="A323" s="140"/>
      <c r="B323" s="140"/>
      <c r="C323" s="320"/>
      <c r="D323" s="2092" t="s">
        <v>180</v>
      </c>
      <c r="E323" s="2092"/>
      <c r="F323" s="2092"/>
      <c r="G323" s="2"/>
    </row>
    <row r="324" spans="1:7" ht="13.2">
      <c r="A324" s="140"/>
      <c r="B324" s="140"/>
      <c r="C324" s="320"/>
      <c r="D324" s="2089" t="s">
        <v>1579</v>
      </c>
      <c r="E324" s="2089"/>
      <c r="F324" s="2089"/>
      <c r="G324" s="2"/>
    </row>
    <row r="325" spans="1:7" ht="13.2">
      <c r="A325" s="140"/>
      <c r="B325" s="140"/>
      <c r="C325" s="320"/>
      <c r="D325" s="290"/>
      <c r="E325" s="282"/>
      <c r="F325" s="282"/>
      <c r="G325" s="2"/>
    </row>
    <row r="326" spans="1:7" ht="13.2">
      <c r="A326" s="140"/>
      <c r="B326" s="1503" t="s">
        <v>136</v>
      </c>
      <c r="C326" s="14"/>
      <c r="D326" s="2089" t="s">
        <v>1767</v>
      </c>
      <c r="E326" s="2089"/>
      <c r="F326" s="2089"/>
      <c r="G326" s="2"/>
    </row>
    <row r="327" spans="1:7" ht="14.4">
      <c r="A327" s="570"/>
      <c r="B327" s="570"/>
      <c r="D327" s="702"/>
      <c r="G327" s="2"/>
    </row>
    <row r="328" spans="1:7" ht="14.4">
      <c r="A328" s="413"/>
      <c r="B328" s="1503" t="s">
        <v>136</v>
      </c>
      <c r="C328" s="14"/>
      <c r="D328" s="2089" t="s">
        <v>1768</v>
      </c>
      <c r="E328" s="2089"/>
      <c r="F328" s="2089"/>
      <c r="G328" s="2"/>
    </row>
    <row r="329" spans="1:7" ht="13.2">
      <c r="A329" s="140"/>
      <c r="B329" s="140"/>
      <c r="C329" s="14"/>
      <c r="D329" s="282"/>
      <c r="E329" s="282"/>
      <c r="F329" s="282"/>
      <c r="G329" s="2"/>
    </row>
    <row r="330" spans="1:7" ht="14.4" customHeight="1">
      <c r="A330" s="413"/>
      <c r="B330" s="1503" t="s">
        <v>136</v>
      </c>
      <c r="C330" s="14"/>
      <c r="D330" s="1977" t="s">
        <v>1774</v>
      </c>
      <c r="E330" s="1977"/>
      <c r="F330" s="1977"/>
      <c r="G330" s="2"/>
    </row>
    <row r="331" spans="1:7" ht="14.4">
      <c r="A331" s="413"/>
      <c r="B331" s="413"/>
      <c r="C331" s="14"/>
      <c r="D331" s="1977"/>
      <c r="E331" s="1977"/>
      <c r="F331" s="1977"/>
      <c r="G331" s="2"/>
    </row>
    <row r="332" spans="1:7" ht="14.4">
      <c r="A332" s="413"/>
      <c r="B332" s="413"/>
      <c r="C332" s="14"/>
      <c r="D332" s="1977"/>
      <c r="E332" s="1977"/>
      <c r="F332" s="1977"/>
      <c r="G332" s="2"/>
    </row>
    <row r="333" spans="1:7" ht="14.4">
      <c r="A333" s="413"/>
      <c r="B333" s="413"/>
      <c r="C333" s="14"/>
      <c r="D333" s="1977"/>
      <c r="E333" s="1977"/>
      <c r="F333" s="1977"/>
      <c r="G333" s="2"/>
    </row>
    <row r="334" spans="1:7" ht="14.4">
      <c r="A334" s="413"/>
      <c r="B334" s="413"/>
      <c r="C334" s="14"/>
      <c r="D334" s="1977"/>
      <c r="E334" s="1977"/>
      <c r="F334" s="1977"/>
      <c r="G334" s="2"/>
    </row>
    <row r="335" spans="1:7" ht="14.4">
      <c r="A335" s="413"/>
      <c r="B335" s="413"/>
      <c r="C335" s="14"/>
      <c r="D335" s="1977"/>
      <c r="E335" s="1977"/>
      <c r="F335" s="1977"/>
      <c r="G335" s="2"/>
    </row>
    <row r="336" spans="1:7" ht="14.4">
      <c r="A336" s="413"/>
      <c r="B336" s="413"/>
      <c r="C336" s="14"/>
      <c r="D336" s="1977"/>
      <c r="E336" s="1977"/>
      <c r="F336" s="1977"/>
      <c r="G336" s="2"/>
    </row>
    <row r="337" spans="1:8" ht="14.4">
      <c r="A337" s="413"/>
      <c r="B337" s="413"/>
      <c r="C337" s="14"/>
      <c r="D337" s="1977"/>
      <c r="E337" s="1977"/>
      <c r="F337" s="1977"/>
      <c r="G337" s="2"/>
    </row>
    <row r="338" spans="1:8" ht="14.4">
      <c r="A338" s="413"/>
      <c r="B338" s="413"/>
      <c r="C338" s="14"/>
      <c r="D338" s="1977"/>
      <c r="E338" s="1977"/>
      <c r="F338" s="1977"/>
    </row>
    <row r="339" spans="1:8" ht="14.4">
      <c r="A339" s="413"/>
      <c r="B339" s="413"/>
      <c r="C339" s="14"/>
      <c r="D339" s="1977"/>
      <c r="E339" s="1977"/>
      <c r="F339" s="1977"/>
    </row>
    <row r="340" spans="1:8" ht="14.4">
      <c r="A340" s="413"/>
      <c r="B340" s="413"/>
      <c r="C340" s="14"/>
      <c r="D340" s="1977"/>
      <c r="E340" s="1977"/>
      <c r="F340" s="1977"/>
    </row>
    <row r="341" spans="1:8" ht="14.4">
      <c r="A341" s="413"/>
      <c r="B341" s="413"/>
      <c r="C341" s="14"/>
      <c r="D341" s="1977"/>
      <c r="E341" s="1977"/>
      <c r="F341" s="1977"/>
    </row>
    <row r="342" spans="1:8" ht="14.4">
      <c r="A342" s="413"/>
      <c r="B342" s="413"/>
      <c r="C342" s="14"/>
      <c r="D342" s="1977"/>
      <c r="E342" s="1977"/>
      <c r="F342" s="1977"/>
    </row>
    <row r="343" spans="1:8" ht="14.4">
      <c r="A343" s="413"/>
      <c r="B343" s="413"/>
      <c r="C343" s="14"/>
      <c r="D343" s="1977"/>
      <c r="E343" s="1977"/>
      <c r="F343" s="1977"/>
    </row>
    <row r="344" spans="1:8" ht="14.4">
      <c r="A344" s="413"/>
      <c r="B344" s="413"/>
      <c r="C344" s="14"/>
      <c r="D344" s="1977"/>
      <c r="E344" s="1977"/>
      <c r="F344" s="1977"/>
    </row>
    <row r="345" spans="1:8" ht="13.2">
      <c r="A345" s="140"/>
      <c r="B345" s="140"/>
      <c r="C345" s="14"/>
      <c r="D345" s="282"/>
      <c r="E345" s="282"/>
      <c r="F345" s="282"/>
    </row>
    <row r="346" spans="1:8" s="50" customFormat="1" ht="14.4" customHeight="1">
      <c r="A346" s="413"/>
      <c r="B346" s="1503" t="s">
        <v>136</v>
      </c>
      <c r="C346" s="140"/>
      <c r="D346" s="1977" t="s">
        <v>1769</v>
      </c>
      <c r="E346" s="1977"/>
      <c r="F346" s="1977"/>
      <c r="G346" s="8"/>
      <c r="H346" s="16"/>
    </row>
    <row r="347" spans="1:8" s="50" customFormat="1" ht="13.2">
      <c r="A347" s="140"/>
      <c r="B347" s="140"/>
      <c r="C347" s="140"/>
      <c r="D347" s="1977"/>
      <c r="E347" s="1977"/>
      <c r="F347" s="1977"/>
      <c r="G347" s="8"/>
      <c r="H347" s="16"/>
    </row>
    <row r="348" spans="1:8" s="50" customFormat="1" ht="13.2">
      <c r="A348" s="140"/>
      <c r="B348" s="140"/>
      <c r="C348" s="140"/>
      <c r="D348" s="1977"/>
      <c r="E348" s="1977"/>
      <c r="F348" s="1977"/>
      <c r="G348" s="8"/>
      <c r="H348" s="16"/>
    </row>
    <row r="349" spans="1:8" s="50" customFormat="1" ht="13.2">
      <c r="A349" s="140"/>
      <c r="B349" s="140"/>
      <c r="C349" s="140"/>
      <c r="D349" s="1977"/>
      <c r="E349" s="1977"/>
      <c r="F349" s="1977"/>
      <c r="G349" s="8"/>
      <c r="H349" s="16"/>
    </row>
    <row r="350" spans="1:8" s="50" customFormat="1" ht="13.2">
      <c r="A350" s="140"/>
      <c r="B350" s="140"/>
      <c r="C350" s="140"/>
      <c r="D350" s="1977"/>
      <c r="E350" s="1977"/>
      <c r="F350" s="1977"/>
      <c r="G350" s="8"/>
      <c r="H350" s="16"/>
    </row>
    <row r="351" spans="1:8" s="50" customFormat="1" ht="13.2">
      <c r="A351" s="140"/>
      <c r="B351" s="140"/>
      <c r="C351" s="140"/>
      <c r="D351" s="1977"/>
      <c r="E351" s="1977"/>
      <c r="F351" s="1977"/>
      <c r="G351" s="8"/>
      <c r="H351" s="16"/>
    </row>
    <row r="352" spans="1:8" s="50" customFormat="1" ht="13.2">
      <c r="A352" s="140"/>
      <c r="B352" s="140"/>
      <c r="C352" s="140"/>
      <c r="D352" s="1977"/>
      <c r="E352" s="1977"/>
      <c r="F352" s="1977"/>
      <c r="G352" s="8"/>
      <c r="H352" s="16"/>
    </row>
    <row r="353" spans="1:8" s="50" customFormat="1" ht="13.2">
      <c r="A353" s="140"/>
      <c r="B353" s="140"/>
      <c r="C353" s="140"/>
      <c r="D353" s="1977"/>
      <c r="E353" s="1977"/>
      <c r="F353" s="1977"/>
      <c r="G353" s="8"/>
      <c r="H353" s="16"/>
    </row>
    <row r="354" spans="1:8" s="50" customFormat="1" ht="13.2">
      <c r="A354" s="140"/>
      <c r="B354" s="140"/>
      <c r="C354" s="140"/>
      <c r="D354" s="1977"/>
      <c r="E354" s="1977"/>
      <c r="F354" s="1977"/>
      <c r="G354" s="8"/>
      <c r="H354" s="16"/>
    </row>
    <row r="355" spans="1:8" ht="13.2">
      <c r="A355" s="150"/>
      <c r="B355" s="150"/>
      <c r="E355" s="403"/>
      <c r="F355" s="403"/>
    </row>
    <row r="356" spans="1:8" ht="14.4">
      <c r="A356" s="413"/>
      <c r="B356" s="1503" t="s">
        <v>136</v>
      </c>
      <c r="C356" s="14"/>
      <c r="D356" s="2095" t="s">
        <v>2142</v>
      </c>
      <c r="E356" s="2088"/>
      <c r="F356" s="2088"/>
    </row>
    <row r="357" spans="1:8" ht="13.2">
      <c r="A357" s="140"/>
      <c r="B357" s="140"/>
      <c r="C357" s="14"/>
      <c r="D357" s="2088"/>
      <c r="E357" s="2088"/>
      <c r="F357" s="2088"/>
    </row>
    <row r="358" spans="1:8" ht="13.2">
      <c r="A358" s="140"/>
      <c r="B358" s="140"/>
      <c r="C358" s="14"/>
      <c r="D358" s="2088"/>
      <c r="E358" s="2088"/>
      <c r="F358" s="2088"/>
    </row>
    <row r="359" spans="1:8" ht="13.2">
      <c r="A359" s="140"/>
      <c r="B359" s="140"/>
      <c r="C359" s="14"/>
      <c r="D359" s="2088"/>
      <c r="E359" s="2088"/>
      <c r="F359" s="2088"/>
    </row>
    <row r="360" spans="1:8" ht="13.2">
      <c r="A360" s="986"/>
      <c r="B360" s="986"/>
      <c r="C360" s="14"/>
      <c r="D360" s="2088"/>
      <c r="E360" s="2088"/>
      <c r="F360" s="2088"/>
    </row>
    <row r="361" spans="1:8" ht="13.2">
      <c r="A361" s="140"/>
      <c r="B361" s="140"/>
      <c r="C361" s="14"/>
      <c r="D361" s="2088"/>
      <c r="E361" s="2088"/>
      <c r="F361" s="2088"/>
    </row>
    <row r="362" spans="1:8" ht="13.8" thickBot="1">
      <c r="A362" s="140"/>
      <c r="B362" s="140"/>
      <c r="C362" s="14"/>
      <c r="D362" s="1294"/>
      <c r="E362" s="811"/>
      <c r="F362" s="811"/>
      <c r="G362" s="288"/>
    </row>
    <row r="363" spans="1:8" ht="14.4" thickTop="1" thickBot="1">
      <c r="A363" s="140"/>
      <c r="B363" s="140"/>
      <c r="C363" s="140"/>
      <c r="D363" s="2174" t="s">
        <v>1402</v>
      </c>
      <c r="E363" s="2174"/>
      <c r="F363" s="2174"/>
      <c r="G363" s="71"/>
    </row>
    <row r="364" spans="1:8" ht="13.8" thickTop="1">
      <c r="A364" s="140"/>
      <c r="B364" s="140"/>
      <c r="C364" s="140"/>
      <c r="D364" s="2177" t="s">
        <v>1770</v>
      </c>
      <c r="E364" s="2177"/>
      <c r="F364" s="2177"/>
      <c r="G364" s="8"/>
    </row>
    <row r="365" spans="1:8" ht="13.2">
      <c r="A365" s="140"/>
      <c r="B365" s="140"/>
      <c r="C365" s="140"/>
      <c r="D365" s="287"/>
      <c r="E365" s="8"/>
      <c r="F365" s="8"/>
      <c r="G365" s="8"/>
    </row>
    <row r="366" spans="1:8" ht="14.4">
      <c r="A366" s="413"/>
      <c r="B366" s="1503" t="s">
        <v>136</v>
      </c>
      <c r="C366" s="597"/>
      <c r="D366" s="2173" t="s">
        <v>1775</v>
      </c>
      <c r="E366" s="2173"/>
      <c r="F366" s="2173"/>
      <c r="G366" s="8"/>
    </row>
    <row r="367" spans="1:8" ht="14.4">
      <c r="A367" s="413"/>
      <c r="B367" s="413"/>
      <c r="C367" s="597"/>
      <c r="D367" s="666"/>
      <c r="E367" s="8"/>
      <c r="F367" s="8"/>
      <c r="G367" s="8"/>
    </row>
    <row r="368" spans="1:8" ht="14.4">
      <c r="A368" s="413"/>
      <c r="B368" s="1503" t="s">
        <v>136</v>
      </c>
      <c r="C368" s="597"/>
      <c r="D368" s="2175" t="s">
        <v>1778</v>
      </c>
      <c r="E368" s="2176"/>
      <c r="F368" s="2176"/>
      <c r="G368" s="8"/>
    </row>
    <row r="369" spans="1:7" ht="14.4">
      <c r="A369" s="413"/>
      <c r="B369" s="413"/>
      <c r="C369" s="597"/>
      <c r="D369" s="2176"/>
      <c r="E369" s="2176"/>
      <c r="F369" s="2176"/>
      <c r="G369" s="8"/>
    </row>
    <row r="370" spans="1:7" ht="14.4">
      <c r="A370" s="413"/>
      <c r="B370" s="413"/>
      <c r="C370" s="597"/>
      <c r="D370" s="2176"/>
      <c r="E370" s="2176"/>
      <c r="F370" s="2176"/>
      <c r="G370" s="8"/>
    </row>
    <row r="371" spans="1:7" ht="14.4">
      <c r="A371" s="413"/>
      <c r="B371" s="413"/>
      <c r="C371" s="597"/>
      <c r="D371" s="2176"/>
      <c r="E371" s="2176"/>
      <c r="F371" s="2176"/>
      <c r="G371" s="8"/>
    </row>
    <row r="372" spans="1:7" ht="14.4">
      <c r="A372" s="413"/>
      <c r="B372" s="413"/>
      <c r="C372" s="597"/>
      <c r="D372" s="2176"/>
      <c r="E372" s="2176"/>
      <c r="F372" s="2176"/>
      <c r="G372" s="8"/>
    </row>
    <row r="373" spans="1:7" ht="14.4">
      <c r="A373" s="413"/>
      <c r="B373" s="413"/>
      <c r="C373" s="597"/>
      <c r="D373" s="2176"/>
      <c r="E373" s="2176"/>
      <c r="F373" s="2176"/>
      <c r="G373" s="8"/>
    </row>
    <row r="374" spans="1:7" ht="14.4">
      <c r="A374" s="413"/>
      <c r="B374" s="413"/>
      <c r="C374" s="597"/>
      <c r="D374" s="2176"/>
      <c r="E374" s="2176"/>
      <c r="F374" s="2176"/>
      <c r="G374" s="8"/>
    </row>
    <row r="375" spans="1:7" ht="14.4">
      <c r="A375" s="413"/>
      <c r="B375" s="413"/>
      <c r="C375" s="597"/>
      <c r="D375" s="2176"/>
      <c r="E375" s="2176"/>
      <c r="F375" s="2176"/>
      <c r="G375" s="8"/>
    </row>
    <row r="376" spans="1:7" ht="14.4">
      <c r="A376" s="413"/>
      <c r="B376" s="413"/>
      <c r="C376" s="597"/>
      <c r="D376" s="2176"/>
      <c r="E376" s="2176"/>
      <c r="F376" s="2176"/>
      <c r="G376" s="8"/>
    </row>
    <row r="377" spans="1:7" ht="14.4">
      <c r="A377" s="413"/>
      <c r="B377" s="413"/>
      <c r="C377" s="597"/>
      <c r="D377" s="2176"/>
      <c r="E377" s="2176"/>
      <c r="F377" s="2176"/>
      <c r="G377" s="8"/>
    </row>
    <row r="378" spans="1:7" ht="14.4">
      <c r="A378" s="413"/>
      <c r="B378" s="413"/>
      <c r="C378" s="597"/>
      <c r="D378" s="991"/>
      <c r="E378" s="991"/>
      <c r="F378" s="991"/>
      <c r="G378" s="8"/>
    </row>
    <row r="379" spans="1:7" ht="14.4">
      <c r="A379" s="413"/>
      <c r="B379" s="1503" t="s">
        <v>136</v>
      </c>
      <c r="C379" s="597"/>
      <c r="D379" s="2185" t="s">
        <v>1771</v>
      </c>
      <c r="E379" s="2185"/>
      <c r="F379" s="2185"/>
      <c r="G379" s="8"/>
    </row>
    <row r="380" spans="1:7" ht="13.2">
      <c r="A380" s="597"/>
      <c r="B380" s="597"/>
      <c r="C380" s="597"/>
      <c r="D380" s="2185"/>
      <c r="E380" s="2185"/>
      <c r="F380" s="2185"/>
      <c r="G380" s="8"/>
    </row>
    <row r="381" spans="1:7" ht="13.2">
      <c r="A381" s="597"/>
      <c r="B381" s="597"/>
      <c r="C381" s="597"/>
      <c r="D381" s="2185"/>
      <c r="E381" s="2185"/>
      <c r="F381" s="2185"/>
      <c r="G381" s="8"/>
    </row>
    <row r="382" spans="1:7" ht="13.2">
      <c r="A382" s="597"/>
      <c r="B382" s="597"/>
      <c r="C382" s="597"/>
      <c r="D382" s="2185"/>
      <c r="E382" s="2185"/>
      <c r="F382" s="2185"/>
      <c r="G382" s="8"/>
    </row>
    <row r="383" spans="1:7" ht="13.2">
      <c r="A383" s="597"/>
      <c r="B383" s="597"/>
      <c r="C383" s="597"/>
      <c r="D383" s="994"/>
      <c r="E383" s="994"/>
      <c r="F383" s="994"/>
      <c r="G383" s="8"/>
    </row>
    <row r="384" spans="1:7" ht="13.2">
      <c r="A384" s="597"/>
      <c r="B384" s="597"/>
      <c r="C384" s="597"/>
      <c r="D384" s="2185" t="s">
        <v>1772</v>
      </c>
      <c r="E384" s="2185"/>
      <c r="F384" s="2185"/>
      <c r="G384" s="8"/>
    </row>
    <row r="385" spans="1:7" ht="13.2">
      <c r="A385" s="597"/>
      <c r="B385" s="597"/>
      <c r="C385" s="597"/>
      <c r="D385" s="2185"/>
      <c r="E385" s="2185"/>
      <c r="F385" s="2185"/>
      <c r="G385" s="8"/>
    </row>
    <row r="386" spans="1:7" ht="13.2">
      <c r="A386" s="597"/>
      <c r="B386" s="597"/>
      <c r="C386" s="597"/>
      <c r="D386" s="2185"/>
      <c r="E386" s="2185"/>
      <c r="F386" s="2185"/>
      <c r="G386" s="8"/>
    </row>
    <row r="387" spans="1:7" ht="13.2">
      <c r="A387" s="597"/>
      <c r="B387" s="597"/>
      <c r="C387" s="597"/>
      <c r="D387" s="2185"/>
      <c r="E387" s="2185"/>
      <c r="F387" s="2185"/>
      <c r="G387" s="8"/>
    </row>
    <row r="388" spans="1:7" ht="13.2">
      <c r="A388" s="597"/>
      <c r="B388" s="597"/>
      <c r="C388" s="597"/>
      <c r="D388" s="2185"/>
      <c r="E388" s="2185"/>
      <c r="F388" s="2185"/>
      <c r="G388" s="8"/>
    </row>
    <row r="389" spans="1:7" ht="13.2">
      <c r="A389" s="597"/>
      <c r="B389" s="597"/>
      <c r="C389" s="597"/>
      <c r="D389" s="2185"/>
      <c r="E389" s="2185"/>
      <c r="F389" s="2185"/>
      <c r="G389" s="8"/>
    </row>
    <row r="390" spans="1:7" ht="13.2">
      <c r="A390" s="597"/>
      <c r="B390" s="597"/>
      <c r="C390" s="597"/>
      <c r="D390" s="2185"/>
      <c r="E390" s="2185"/>
      <c r="F390" s="2185"/>
      <c r="G390" s="8"/>
    </row>
    <row r="391" spans="1:7" ht="13.2">
      <c r="A391" s="597"/>
      <c r="B391" s="597"/>
      <c r="C391" s="597"/>
      <c r="D391" s="2185"/>
      <c r="E391" s="2185"/>
      <c r="F391" s="2185"/>
      <c r="G391" s="8"/>
    </row>
    <row r="392" spans="1:7" ht="13.2">
      <c r="A392" s="597"/>
      <c r="B392" s="597"/>
      <c r="C392" s="597"/>
      <c r="D392" s="2185"/>
      <c r="E392" s="2185"/>
      <c r="F392" s="2185"/>
      <c r="G392" s="8"/>
    </row>
    <row r="393" spans="1:7" ht="13.65" customHeight="1">
      <c r="A393" s="597"/>
      <c r="B393" s="597"/>
      <c r="C393" s="597"/>
      <c r="D393" s="2186" t="s">
        <v>1776</v>
      </c>
      <c r="E393" s="2186"/>
      <c r="F393" s="2186"/>
      <c r="G393" s="8"/>
    </row>
    <row r="394" spans="1:7" ht="13.65" customHeight="1">
      <c r="A394" s="597"/>
      <c r="B394" s="597"/>
      <c r="C394" s="597"/>
      <c r="D394" s="2186"/>
      <c r="E394" s="2186"/>
      <c r="F394" s="2186"/>
      <c r="G394" s="8"/>
    </row>
    <row r="395" spans="1:7" ht="13.65" customHeight="1">
      <c r="A395" s="597"/>
      <c r="B395" s="597"/>
      <c r="C395" s="597"/>
      <c r="D395" s="2186"/>
      <c r="E395" s="2186"/>
      <c r="F395" s="2186"/>
      <c r="G395" s="8"/>
    </row>
    <row r="396" spans="1:7" ht="13.65" customHeight="1">
      <c r="A396" s="597"/>
      <c r="B396" s="597"/>
      <c r="C396" s="597"/>
      <c r="D396" s="2186"/>
      <c r="E396" s="2186"/>
      <c r="F396" s="2186"/>
      <c r="G396" s="8"/>
    </row>
    <row r="397" spans="1:7" ht="13.65" customHeight="1">
      <c r="A397" s="597"/>
      <c r="B397" s="597"/>
      <c r="C397" s="597"/>
      <c r="D397" s="2186"/>
      <c r="E397" s="2186"/>
      <c r="F397" s="2186"/>
      <c r="G397" s="8"/>
    </row>
    <row r="398" spans="1:7" ht="13.65" customHeight="1">
      <c r="A398" s="597"/>
      <c r="B398" s="597"/>
      <c r="C398" s="597"/>
      <c r="D398" s="2186"/>
      <c r="E398" s="2186"/>
      <c r="F398" s="2186"/>
      <c r="G398" s="8"/>
    </row>
    <row r="399" spans="1:7" ht="13.65" customHeight="1">
      <c r="A399" s="597"/>
      <c r="B399" s="597"/>
      <c r="C399" s="597"/>
      <c r="D399" s="2186"/>
      <c r="E399" s="2186"/>
      <c r="F399" s="2186"/>
      <c r="G399" s="8"/>
    </row>
    <row r="400" spans="1:7" ht="13.65" customHeight="1">
      <c r="A400" s="597"/>
      <c r="B400" s="597"/>
      <c r="C400" s="597"/>
      <c r="D400" s="2186"/>
      <c r="E400" s="2186"/>
      <c r="F400" s="2186"/>
      <c r="G400" s="8"/>
    </row>
    <row r="401" spans="1:7" ht="13.65" customHeight="1">
      <c r="A401" s="597"/>
      <c r="B401" s="597"/>
      <c r="C401" s="597"/>
      <c r="D401" s="2186"/>
      <c r="E401" s="2186"/>
      <c r="F401" s="2186"/>
      <c r="G401" s="8"/>
    </row>
    <row r="402" spans="1:7" ht="13.65" customHeight="1">
      <c r="A402" s="597"/>
      <c r="B402" s="597"/>
      <c r="C402" s="597"/>
      <c r="D402" s="2186"/>
      <c r="E402" s="2186"/>
      <c r="F402" s="2186"/>
      <c r="G402" s="8"/>
    </row>
    <row r="403" spans="1:7" ht="13.65" customHeight="1">
      <c r="A403" s="597"/>
      <c r="B403" s="597"/>
      <c r="C403" s="597"/>
      <c r="D403" s="2186"/>
      <c r="E403" s="2186"/>
      <c r="F403" s="2186"/>
      <c r="G403" s="8"/>
    </row>
    <row r="404" spans="1:7" ht="13.65" customHeight="1">
      <c r="A404" s="597"/>
      <c r="B404" s="597"/>
      <c r="C404" s="597"/>
      <c r="D404" s="2186"/>
      <c r="E404" s="2186"/>
      <c r="F404" s="2186"/>
      <c r="G404" s="8"/>
    </row>
    <row r="405" spans="1:7" ht="13.65" customHeight="1">
      <c r="A405" s="597"/>
      <c r="B405" s="597"/>
      <c r="C405" s="597"/>
      <c r="D405" s="2186"/>
      <c r="E405" s="2186"/>
      <c r="F405" s="2186"/>
      <c r="G405" s="8"/>
    </row>
    <row r="406" spans="1:7" ht="13.65" customHeight="1">
      <c r="A406" s="597"/>
      <c r="B406" s="597"/>
      <c r="C406" s="597"/>
      <c r="D406" s="2186"/>
      <c r="E406" s="2186"/>
      <c r="F406" s="2186"/>
      <c r="G406" s="8"/>
    </row>
    <row r="407" spans="1:7" ht="13.65" customHeight="1">
      <c r="A407" s="597"/>
      <c r="B407" s="597"/>
      <c r="C407" s="597"/>
      <c r="D407" s="2186"/>
      <c r="E407" s="2186"/>
      <c r="F407" s="2186"/>
      <c r="G407" s="8"/>
    </row>
    <row r="408" spans="1:7" ht="13.65" customHeight="1">
      <c r="A408" s="597"/>
      <c r="B408" s="597"/>
      <c r="C408" s="597"/>
      <c r="D408" s="2186"/>
      <c r="E408" s="2186"/>
      <c r="F408" s="2186"/>
      <c r="G408" s="8"/>
    </row>
    <row r="409" spans="1:7" ht="13.65" customHeight="1">
      <c r="A409" s="597"/>
      <c r="B409" s="597"/>
      <c r="C409" s="597"/>
      <c r="D409" s="2186"/>
      <c r="E409" s="2186"/>
      <c r="F409" s="2186"/>
      <c r="G409" s="8"/>
    </row>
    <row r="410" spans="1:7" ht="13.65" customHeight="1">
      <c r="A410" s="597"/>
      <c r="B410" s="597"/>
      <c r="C410" s="597"/>
      <c r="D410" s="2186"/>
      <c r="E410" s="2186"/>
      <c r="F410" s="2186"/>
      <c r="G410" s="8"/>
    </row>
    <row r="411" spans="1:7" ht="13.2">
      <c r="A411" s="597"/>
      <c r="B411" s="597"/>
      <c r="C411" s="597"/>
      <c r="D411" s="808"/>
      <c r="E411" s="8"/>
      <c r="F411" s="8"/>
      <c r="G411" s="8"/>
    </row>
    <row r="412" spans="1:7" ht="13.65" customHeight="1">
      <c r="A412" s="597"/>
      <c r="B412" s="1503" t="s">
        <v>136</v>
      </c>
      <c r="C412" s="597"/>
      <c r="D412" s="2186" t="s">
        <v>1773</v>
      </c>
      <c r="E412" s="2186"/>
      <c r="F412" s="2186"/>
      <c r="G412" s="8"/>
    </row>
    <row r="413" spans="1:7" ht="13.2">
      <c r="A413" s="597"/>
      <c r="B413" s="597"/>
      <c r="C413" s="597"/>
      <c r="D413" s="2186"/>
      <c r="E413" s="2186"/>
      <c r="F413" s="2186"/>
      <c r="G413" s="8"/>
    </row>
    <row r="414" spans="1:7" ht="13.2">
      <c r="A414" s="597"/>
      <c r="B414" s="597"/>
      <c r="C414" s="597"/>
      <c r="D414" s="1348"/>
      <c r="E414" s="1348"/>
      <c r="F414" s="1348"/>
      <c r="G414" s="8"/>
    </row>
    <row r="415" spans="1:7" ht="13.2">
      <c r="A415" s="597"/>
      <c r="B415" s="1503" t="s">
        <v>136</v>
      </c>
      <c r="C415" s="597"/>
      <c r="D415" s="2140" t="s">
        <v>2147</v>
      </c>
      <c r="E415" s="2140"/>
      <c r="F415" s="2140"/>
      <c r="G415" s="8"/>
    </row>
    <row r="416" spans="1:7" ht="13.2">
      <c r="A416" s="597"/>
      <c r="B416" s="597"/>
      <c r="C416" s="597"/>
      <c r="D416" s="2140"/>
      <c r="E416" s="2140"/>
      <c r="F416" s="2140"/>
      <c r="G416" s="8"/>
    </row>
    <row r="417" spans="1:7" ht="13.2">
      <c r="A417" s="597"/>
      <c r="B417" s="597"/>
      <c r="C417" s="597"/>
      <c r="D417" s="2140"/>
      <c r="E417" s="2140"/>
      <c r="F417" s="2140"/>
      <c r="G417" s="8"/>
    </row>
    <row r="418" spans="1:7" ht="13.2">
      <c r="A418" s="597"/>
      <c r="B418" s="597"/>
      <c r="C418" s="597"/>
      <c r="D418" s="2140"/>
      <c r="E418" s="2140"/>
      <c r="F418" s="2140"/>
      <c r="G418" s="8"/>
    </row>
    <row r="419" spans="1:7" ht="13.2">
      <c r="A419" s="597"/>
      <c r="B419" s="597"/>
      <c r="C419" s="597"/>
      <c r="D419" s="2140"/>
      <c r="E419" s="2140"/>
      <c r="F419" s="2140"/>
      <c r="G419" s="8"/>
    </row>
    <row r="420" spans="1:7" ht="13.2">
      <c r="A420" s="597"/>
      <c r="B420" s="597"/>
      <c r="C420" s="597"/>
      <c r="D420" s="2140"/>
      <c r="E420" s="2140"/>
      <c r="F420" s="2140"/>
      <c r="G420" s="8"/>
    </row>
    <row r="421" spans="1:7" ht="14.4" customHeight="1">
      <c r="A421" s="413"/>
      <c r="B421" s="1503" t="s">
        <v>136</v>
      </c>
      <c r="C421" s="597"/>
      <c r="D421" s="2140" t="s">
        <v>2124</v>
      </c>
      <c r="E421" s="2140"/>
      <c r="F421" s="2140"/>
      <c r="G421" s="8"/>
    </row>
    <row r="422" spans="1:7" ht="14.4">
      <c r="A422" s="809"/>
      <c r="B422" s="809"/>
      <c r="C422" s="597"/>
      <c r="D422" s="2140"/>
      <c r="E422" s="2140"/>
      <c r="F422" s="2140"/>
      <c r="G422" s="8"/>
    </row>
    <row r="423" spans="1:7" ht="14.4">
      <c r="A423" s="809"/>
      <c r="B423" s="809"/>
      <c r="C423" s="597"/>
      <c r="D423" s="2140"/>
      <c r="E423" s="2140"/>
      <c r="F423" s="2140"/>
      <c r="G423" s="8"/>
    </row>
    <row r="424" spans="1:7" ht="14.4">
      <c r="A424" s="809"/>
      <c r="B424" s="809"/>
      <c r="C424" s="597"/>
      <c r="D424" s="2140"/>
      <c r="E424" s="2140"/>
      <c r="F424" s="2140"/>
      <c r="G424" s="8"/>
    </row>
    <row r="425" spans="1:7" ht="14.25" customHeight="1">
      <c r="A425" s="809"/>
      <c r="B425" s="809"/>
      <c r="C425" s="597"/>
      <c r="D425" s="2189" t="s">
        <v>2143</v>
      </c>
      <c r="E425" s="2189"/>
      <c r="F425" s="2189"/>
      <c r="G425" s="8"/>
    </row>
    <row r="426" spans="1:7" ht="13.2">
      <c r="A426" s="140"/>
      <c r="B426" s="140"/>
      <c r="C426" s="140"/>
      <c r="D426" s="143"/>
      <c r="E426" s="8"/>
      <c r="F426" s="8"/>
      <c r="G426" s="8"/>
    </row>
    <row r="427" spans="1:7" ht="14.4" customHeight="1">
      <c r="A427" s="413"/>
      <c r="B427" s="1503" t="s">
        <v>136</v>
      </c>
      <c r="C427" s="355"/>
      <c r="D427" s="2088" t="s">
        <v>1779</v>
      </c>
      <c r="E427" s="2088"/>
      <c r="F427" s="2088"/>
      <c r="G427" s="8"/>
    </row>
    <row r="428" spans="1:7" ht="14.4">
      <c r="A428" s="413"/>
      <c r="B428" s="413"/>
      <c r="C428" s="140"/>
      <c r="D428" s="2088"/>
      <c r="E428" s="2088"/>
      <c r="F428" s="2088"/>
      <c r="G428" s="8"/>
    </row>
    <row r="429" spans="1:7" ht="14.4">
      <c r="A429" s="413"/>
      <c r="B429" s="413"/>
      <c r="C429" s="992"/>
      <c r="D429" s="2088"/>
      <c r="E429" s="2088"/>
      <c r="F429" s="2088"/>
      <c r="G429" s="8"/>
    </row>
    <row r="430" spans="1:7" ht="14.4">
      <c r="A430" s="413"/>
      <c r="B430" s="413"/>
      <c r="C430" s="992"/>
      <c r="D430" s="2088"/>
      <c r="E430" s="2088"/>
      <c r="F430" s="2088"/>
      <c r="G430" s="8"/>
    </row>
    <row r="431" spans="1:7" ht="14.4">
      <c r="A431" s="413"/>
      <c r="B431" s="413"/>
      <c r="C431" s="992"/>
      <c r="D431" s="2088"/>
      <c r="E431" s="2088"/>
      <c r="F431" s="2088"/>
      <c r="G431" s="8"/>
    </row>
    <row r="432" spans="1:7" ht="14.4">
      <c r="A432" s="413"/>
      <c r="B432" s="413"/>
      <c r="C432" s="992"/>
      <c r="D432" s="2088"/>
      <c r="E432" s="2088"/>
      <c r="F432" s="2088"/>
      <c r="G432" s="8"/>
    </row>
    <row r="433" spans="1:7" ht="14.4">
      <c r="A433" s="413"/>
      <c r="B433" s="413"/>
      <c r="C433" s="992"/>
      <c r="D433" s="2088"/>
      <c r="E433" s="2088"/>
      <c r="F433" s="2088"/>
      <c r="G433" s="8"/>
    </row>
    <row r="434" spans="1:7" ht="14.4">
      <c r="A434" s="413"/>
      <c r="B434" s="413"/>
      <c r="C434" s="992"/>
      <c r="D434" s="2088"/>
      <c r="E434" s="2088"/>
      <c r="F434" s="2088"/>
      <c r="G434" s="8"/>
    </row>
    <row r="435" spans="1:7" ht="14.4">
      <c r="A435" s="413"/>
      <c r="B435" s="413"/>
      <c r="C435" s="992"/>
      <c r="D435" s="2088"/>
      <c r="E435" s="2088"/>
      <c r="F435" s="2088"/>
      <c r="G435" s="8"/>
    </row>
    <row r="436" spans="1:7" ht="14.4">
      <c r="A436" s="413"/>
      <c r="B436" s="413"/>
      <c r="C436" s="992"/>
      <c r="D436" s="2088"/>
      <c r="E436" s="2088"/>
      <c r="F436" s="2088"/>
      <c r="G436" s="8"/>
    </row>
    <row r="437" spans="1:7" ht="14.4">
      <c r="A437" s="413"/>
      <c r="B437" s="413"/>
      <c r="C437" s="992"/>
      <c r="D437" s="2088"/>
      <c r="E437" s="2088"/>
      <c r="F437" s="2088"/>
      <c r="G437" s="8"/>
    </row>
    <row r="438" spans="1:7" ht="14.4">
      <c r="A438" s="413"/>
      <c r="B438" s="413"/>
      <c r="C438" s="992"/>
      <c r="D438" s="2088"/>
      <c r="E438" s="2088"/>
      <c r="F438" s="2088"/>
      <c r="G438" s="8"/>
    </row>
    <row r="439" spans="1:7" ht="14.4">
      <c r="A439" s="413"/>
      <c r="B439" s="413"/>
      <c r="C439" s="992"/>
      <c r="D439" s="2088"/>
      <c r="E439" s="2088"/>
      <c r="F439" s="2088"/>
      <c r="G439" s="8"/>
    </row>
    <row r="440" spans="1:7" ht="14.4">
      <c r="A440" s="413"/>
      <c r="B440" s="413"/>
      <c r="C440" s="992"/>
      <c r="D440" s="2088"/>
      <c r="E440" s="2088"/>
      <c r="F440" s="2088"/>
      <c r="G440" s="8"/>
    </row>
    <row r="441" spans="1:7" ht="14.4">
      <c r="A441" s="413"/>
      <c r="B441" s="413"/>
      <c r="C441" s="992"/>
      <c r="D441" s="2088"/>
      <c r="E441" s="2088"/>
      <c r="F441" s="2088"/>
      <c r="G441" s="8"/>
    </row>
    <row r="442" spans="1:7" ht="14.4">
      <c r="A442" s="413"/>
      <c r="B442" s="413"/>
      <c r="C442" s="992"/>
      <c r="D442" s="2088"/>
      <c r="E442" s="2088"/>
      <c r="F442" s="2088"/>
      <c r="G442" s="8"/>
    </row>
    <row r="443" spans="1:7" ht="14.4">
      <c r="A443" s="413"/>
      <c r="B443" s="413"/>
      <c r="C443" s="992"/>
      <c r="D443" s="2088"/>
      <c r="E443" s="2088"/>
      <c r="F443" s="2088"/>
      <c r="G443" s="8"/>
    </row>
    <row r="444" spans="1:7" ht="14.4">
      <c r="A444" s="413"/>
      <c r="B444" s="413"/>
      <c r="C444" s="992"/>
      <c r="D444" s="2088"/>
      <c r="E444" s="2088"/>
      <c r="F444" s="2088"/>
      <c r="G444" s="8"/>
    </row>
    <row r="445" spans="1:7" ht="14.4">
      <c r="A445" s="413"/>
      <c r="B445" s="413"/>
      <c r="C445" s="992"/>
      <c r="D445" s="2088"/>
      <c r="E445" s="2088"/>
      <c r="F445" s="2088"/>
      <c r="G445" s="8"/>
    </row>
    <row r="446" spans="1:7" ht="14.4">
      <c r="A446" s="413"/>
      <c r="B446" s="413"/>
      <c r="C446" s="992"/>
      <c r="D446" s="2088"/>
      <c r="E446" s="2088"/>
      <c r="F446" s="2088"/>
      <c r="G446" s="8"/>
    </row>
    <row r="447" spans="1:7" ht="14.4">
      <c r="A447" s="413"/>
      <c r="B447" s="413"/>
      <c r="C447" s="992"/>
      <c r="D447" s="2088"/>
      <c r="E447" s="2088"/>
      <c r="F447" s="2088"/>
      <c r="G447" s="8"/>
    </row>
    <row r="448" spans="1:7" ht="14.4">
      <c r="A448" s="413"/>
      <c r="B448" s="413"/>
      <c r="C448" s="992"/>
      <c r="D448" s="2088"/>
      <c r="E448" s="2088"/>
      <c r="F448" s="2088"/>
      <c r="G448" s="8"/>
    </row>
    <row r="449" spans="1:7" ht="14.4">
      <c r="A449" s="413"/>
      <c r="B449" s="413"/>
      <c r="C449" s="992"/>
      <c r="D449" s="2088"/>
      <c r="E449" s="2088"/>
      <c r="F449" s="2088"/>
      <c r="G449" s="8"/>
    </row>
    <row r="450" spans="1:7" ht="14.4">
      <c r="A450" s="413"/>
      <c r="B450" s="413"/>
      <c r="C450" s="992"/>
      <c r="D450" s="2088"/>
      <c r="E450" s="2088"/>
      <c r="F450" s="2088"/>
      <c r="G450" s="8"/>
    </row>
    <row r="451" spans="1:7" ht="14.4">
      <c r="A451" s="413"/>
      <c r="B451" s="413"/>
      <c r="C451" s="992"/>
      <c r="D451" s="2088"/>
      <c r="E451" s="2088"/>
      <c r="F451" s="2088"/>
      <c r="G451" s="8"/>
    </row>
    <row r="452" spans="1:7" ht="14.4">
      <c r="A452" s="413"/>
      <c r="B452" s="413"/>
      <c r="C452" s="992"/>
      <c r="D452" s="2088"/>
      <c r="E452" s="2088"/>
      <c r="F452" s="2088"/>
      <c r="G452" s="8"/>
    </row>
    <row r="453" spans="1:7" ht="14.4">
      <c r="A453" s="413"/>
      <c r="B453" s="413"/>
      <c r="C453" s="992"/>
      <c r="D453" s="2088"/>
      <c r="E453" s="2088"/>
      <c r="F453" s="2088"/>
      <c r="G453" s="8"/>
    </row>
    <row r="454" spans="1:7" ht="14.4">
      <c r="A454" s="413"/>
      <c r="B454" s="413"/>
      <c r="C454" s="992"/>
      <c r="D454" s="2088"/>
      <c r="E454" s="2088"/>
      <c r="F454" s="2088"/>
      <c r="G454" s="8"/>
    </row>
    <row r="455" spans="1:7" ht="14.4">
      <c r="A455" s="413"/>
      <c r="B455" s="413"/>
      <c r="C455" s="992"/>
      <c r="D455" s="2088"/>
      <c r="E455" s="2088"/>
      <c r="F455" s="2088"/>
      <c r="G455" s="8"/>
    </row>
    <row r="456" spans="1:7" ht="14.4">
      <c r="A456" s="413"/>
      <c r="B456" s="413"/>
      <c r="C456" s="992"/>
      <c r="D456" s="2088"/>
      <c r="E456" s="2088"/>
      <c r="F456" s="2088"/>
      <c r="G456" s="8"/>
    </row>
    <row r="457" spans="1:7" ht="13.2" hidden="1">
      <c r="A457" s="140"/>
      <c r="B457" s="140"/>
      <c r="C457" s="140"/>
      <c r="D457" s="2088"/>
      <c r="E457" s="2088"/>
      <c r="F457" s="2088"/>
      <c r="G457" s="8"/>
    </row>
    <row r="458" spans="1:7" ht="13.2" hidden="1">
      <c r="A458" s="140"/>
      <c r="B458" s="140"/>
      <c r="C458" s="140"/>
      <c r="D458" s="143"/>
      <c r="E458" s="40"/>
      <c r="F458" s="40"/>
      <c r="G458" s="40"/>
    </row>
    <row r="459" spans="1:7" ht="14.4">
      <c r="A459" s="413"/>
      <c r="B459" s="1503" t="s">
        <v>136</v>
      </c>
      <c r="C459" s="355"/>
      <c r="D459" s="2089" t="s">
        <v>1777</v>
      </c>
      <c r="E459" s="2089"/>
      <c r="F459" s="2089"/>
      <c r="G459" s="8"/>
    </row>
    <row r="460" spans="1:7" ht="13.2">
      <c r="A460" s="140"/>
      <c r="B460" s="140"/>
      <c r="C460" s="140"/>
      <c r="D460" s="2187" t="s">
        <v>2120</v>
      </c>
      <c r="E460" s="2187"/>
      <c r="F460" s="2187"/>
      <c r="G460" s="8"/>
    </row>
    <row r="461" spans="1:7" ht="13.65" customHeight="1">
      <c r="A461" s="140"/>
      <c r="B461" s="140"/>
      <c r="C461" s="140"/>
      <c r="D461" s="2188" t="s">
        <v>2121</v>
      </c>
      <c r="E461" s="1977"/>
      <c r="F461" s="1977"/>
      <c r="G461" s="8"/>
    </row>
    <row r="462" spans="1:7" ht="13.65" customHeight="1">
      <c r="A462" s="992"/>
      <c r="B462" s="992"/>
      <c r="C462" s="992"/>
      <c r="D462" s="1977"/>
      <c r="E462" s="1977"/>
      <c r="F462" s="1977"/>
      <c r="G462" s="8"/>
    </row>
    <row r="463" spans="1:7" ht="13.65" customHeight="1">
      <c r="A463" s="992"/>
      <c r="B463" s="992"/>
      <c r="C463" s="992"/>
      <c r="D463" s="1977"/>
      <c r="E463" s="1977"/>
      <c r="F463" s="1977"/>
      <c r="G463" s="8"/>
    </row>
    <row r="464" spans="1:7" ht="13.2">
      <c r="A464" s="140"/>
      <c r="B464" s="140"/>
      <c r="C464" s="140"/>
      <c r="D464" s="143"/>
      <c r="E464" s="8"/>
      <c r="F464" s="8"/>
      <c r="G464" s="8"/>
    </row>
    <row r="465" spans="1:7" ht="14.4" customHeight="1">
      <c r="A465" s="413"/>
      <c r="B465" s="1503" t="s">
        <v>136</v>
      </c>
      <c r="C465" s="355"/>
      <c r="D465" s="2088" t="s">
        <v>1780</v>
      </c>
      <c r="E465" s="2088"/>
      <c r="F465" s="2088"/>
      <c r="G465" s="8"/>
    </row>
    <row r="466" spans="1:7" ht="13.2">
      <c r="A466" s="140"/>
      <c r="B466" s="140"/>
      <c r="C466" s="140"/>
      <c r="D466" s="2088"/>
      <c r="E466" s="2088"/>
      <c r="F466" s="2088"/>
      <c r="G466" s="8"/>
    </row>
    <row r="467" spans="1:7" ht="13.2">
      <c r="A467" s="140"/>
      <c r="B467" s="140"/>
      <c r="C467" s="140"/>
      <c r="D467" s="2088"/>
      <c r="E467" s="2088"/>
      <c r="F467" s="2088"/>
      <c r="G467" s="8"/>
    </row>
    <row r="468" spans="1:7" ht="13.2">
      <c r="A468" s="992"/>
      <c r="B468" s="992"/>
      <c r="C468" s="992"/>
      <c r="D468" s="990"/>
      <c r="E468" s="990"/>
      <c r="F468" s="990"/>
      <c r="G468" s="8"/>
    </row>
    <row r="469" spans="1:7" ht="14.4">
      <c r="A469" s="140"/>
      <c r="B469" s="1503" t="s">
        <v>136</v>
      </c>
      <c r="C469" s="413"/>
      <c r="D469" s="2188" t="s">
        <v>1939</v>
      </c>
      <c r="E469" s="1977"/>
      <c r="F469" s="1977"/>
      <c r="G469" s="8"/>
    </row>
    <row r="470" spans="1:7" ht="13.2">
      <c r="A470" s="140"/>
      <c r="B470" s="140"/>
      <c r="C470" s="140"/>
      <c r="D470" s="1977"/>
      <c r="E470" s="1977"/>
      <c r="F470" s="1977"/>
      <c r="G470" s="8"/>
    </row>
    <row r="471" spans="1:7" ht="13.2">
      <c r="A471" s="140"/>
      <c r="B471" s="140"/>
      <c r="C471" s="140"/>
      <c r="D471" s="143"/>
      <c r="E471" s="701"/>
      <c r="F471" s="8"/>
      <c r="G471" s="8"/>
    </row>
    <row r="472" spans="1:7" ht="14.4">
      <c r="A472" s="140"/>
      <c r="B472" s="1503" t="s">
        <v>136</v>
      </c>
      <c r="C472" s="413"/>
      <c r="D472" s="1977" t="s">
        <v>1781</v>
      </c>
      <c r="E472" s="1977"/>
      <c r="F472" s="1977"/>
      <c r="G472" s="8"/>
    </row>
    <row r="473" spans="1:7" ht="13.2">
      <c r="A473" s="140"/>
      <c r="B473" s="140"/>
      <c r="C473" s="140"/>
      <c r="D473" s="1977"/>
      <c r="E473" s="1977"/>
      <c r="F473" s="1977"/>
      <c r="G473" s="8"/>
    </row>
    <row r="474" spans="1:7" ht="13.2">
      <c r="A474" s="140"/>
      <c r="B474" s="140"/>
      <c r="C474" s="140"/>
      <c r="D474" s="1977"/>
      <c r="E474" s="1977"/>
      <c r="F474" s="1977"/>
      <c r="G474" s="8"/>
    </row>
    <row r="475" spans="1:7" ht="13.2">
      <c r="A475" s="992"/>
      <c r="B475" s="992"/>
      <c r="C475" s="992"/>
      <c r="D475" s="1977"/>
      <c r="E475" s="1977"/>
      <c r="F475" s="1977"/>
      <c r="G475" s="8"/>
    </row>
    <row r="476" spans="1:7" ht="13.2">
      <c r="A476" s="992"/>
      <c r="B476" s="1503" t="s">
        <v>136</v>
      </c>
      <c r="C476" s="992"/>
      <c r="D476" s="1977"/>
      <c r="E476" s="1977"/>
      <c r="F476" s="1977"/>
      <c r="G476" s="8"/>
    </row>
    <row r="477" spans="1:7" ht="13.2">
      <c r="A477" s="992"/>
      <c r="B477" s="992"/>
      <c r="C477" s="992"/>
      <c r="D477" s="1977"/>
      <c r="E477" s="1977"/>
      <c r="F477" s="1977"/>
      <c r="G477" s="8"/>
    </row>
    <row r="478" spans="1:7" ht="13.2">
      <c r="A478" s="992"/>
      <c r="B478" s="992"/>
      <c r="C478" s="992"/>
      <c r="D478" s="1977"/>
      <c r="E478" s="1977"/>
      <c r="F478" s="1977"/>
      <c r="G478" s="8"/>
    </row>
    <row r="479" spans="1:7" ht="13.2">
      <c r="A479" s="992"/>
      <c r="B479" s="1503" t="s">
        <v>136</v>
      </c>
      <c r="C479" s="992"/>
      <c r="D479" s="1977"/>
      <c r="E479" s="1977"/>
      <c r="F479" s="1977"/>
      <c r="G479" s="8"/>
    </row>
    <row r="480" spans="1:7" ht="13.2">
      <c r="A480" s="992"/>
      <c r="B480" s="992"/>
      <c r="C480" s="992"/>
      <c r="D480" s="1977"/>
      <c r="E480" s="1977"/>
      <c r="F480" s="1977"/>
      <c r="G480" s="8"/>
    </row>
    <row r="481" spans="1:7" ht="13.2">
      <c r="A481" s="992"/>
      <c r="B481" s="992"/>
      <c r="C481" s="992"/>
      <c r="D481" s="1977"/>
      <c r="E481" s="1977"/>
      <c r="F481" s="1977"/>
      <c r="G481" s="8"/>
    </row>
    <row r="482" spans="1:7" ht="13.2">
      <c r="A482" s="992"/>
      <c r="B482" s="992"/>
      <c r="C482" s="992"/>
      <c r="D482" s="1977"/>
      <c r="E482" s="1977"/>
      <c r="F482" s="1977"/>
      <c r="G482" s="8"/>
    </row>
    <row r="483" spans="1:7" ht="13.2">
      <c r="A483" s="992"/>
      <c r="B483" s="1503" t="s">
        <v>136</v>
      </c>
      <c r="C483" s="992"/>
      <c r="D483" s="1977"/>
      <c r="E483" s="1977"/>
      <c r="F483" s="1977"/>
      <c r="G483" s="8"/>
    </row>
    <row r="484" spans="1:7" ht="13.2">
      <c r="A484" s="992"/>
      <c r="B484" s="992"/>
      <c r="C484" s="992"/>
      <c r="D484" s="1977"/>
      <c r="E484" s="1977"/>
      <c r="F484" s="1977"/>
      <c r="G484" s="8"/>
    </row>
    <row r="485" spans="1:7" ht="13.2">
      <c r="A485" s="992"/>
      <c r="B485" s="1503" t="s">
        <v>136</v>
      </c>
      <c r="C485" s="992"/>
      <c r="D485" s="1977"/>
      <c r="E485" s="1977"/>
      <c r="F485" s="1977"/>
      <c r="G485" s="8"/>
    </row>
    <row r="486" spans="1:7" ht="13.2">
      <c r="A486" s="992"/>
      <c r="B486" s="14"/>
      <c r="C486" s="992"/>
      <c r="D486" s="1977"/>
      <c r="E486" s="1977"/>
      <c r="F486" s="1977"/>
      <c r="G486" s="8"/>
    </row>
    <row r="487" spans="1:7" ht="13.65" customHeight="1">
      <c r="A487" s="140"/>
      <c r="B487" s="1503" t="s">
        <v>136</v>
      </c>
      <c r="C487" s="140"/>
      <c r="D487" s="1977" t="s">
        <v>1782</v>
      </c>
      <c r="E487" s="1977"/>
      <c r="F487" s="1977"/>
      <c r="G487" s="8"/>
    </row>
    <row r="488" spans="1:7" ht="13.2">
      <c r="A488" s="140"/>
      <c r="B488" s="140"/>
      <c r="C488" s="140"/>
      <c r="D488" s="1977"/>
      <c r="E488" s="1977"/>
      <c r="F488" s="1977"/>
      <c r="G488" s="8"/>
    </row>
    <row r="489" spans="1:7" ht="13.2">
      <c r="A489" s="140"/>
      <c r="B489" s="140"/>
      <c r="C489" s="140"/>
      <c r="D489" s="1977"/>
      <c r="E489" s="1977"/>
      <c r="F489" s="1977"/>
      <c r="G489" s="8"/>
    </row>
    <row r="490" spans="1:7" ht="13.2">
      <c r="A490" s="140"/>
      <c r="B490" s="140"/>
      <c r="C490" s="140"/>
      <c r="D490" s="1977"/>
      <c r="E490" s="1977"/>
      <c r="F490" s="1977"/>
      <c r="G490" s="8"/>
    </row>
    <row r="491" spans="1:7" ht="13.2">
      <c r="A491" s="140"/>
      <c r="B491" s="140"/>
      <c r="C491" s="140"/>
      <c r="D491" s="1977"/>
      <c r="E491" s="1977"/>
      <c r="F491" s="1977"/>
      <c r="G491" s="8"/>
    </row>
    <row r="492" spans="1:7" ht="13.2">
      <c r="A492" s="140"/>
      <c r="B492" s="140"/>
      <c r="C492" s="140"/>
      <c r="D492" s="143"/>
      <c r="E492" s="8"/>
      <c r="F492" s="8"/>
      <c r="G492" s="8"/>
    </row>
    <row r="493" spans="1:7" ht="13.2">
      <c r="A493" s="140"/>
      <c r="B493" s="1503" t="s">
        <v>136</v>
      </c>
      <c r="C493" s="140"/>
      <c r="D493" s="2178" t="s">
        <v>1580</v>
      </c>
      <c r="E493" s="2178"/>
      <c r="F493" s="2178"/>
      <c r="G493" s="8"/>
    </row>
    <row r="494" spans="1:7" ht="13.2">
      <c r="A494" s="143"/>
      <c r="B494" s="143"/>
      <c r="C494" s="14"/>
      <c r="D494" s="282"/>
      <c r="E494" s="282"/>
      <c r="F494" s="282"/>
    </row>
    <row r="495" spans="1:7" ht="13.2">
      <c r="A495" s="2138" t="s">
        <v>1536</v>
      </c>
      <c r="B495" s="2138"/>
      <c r="C495" s="2138"/>
      <c r="D495" s="2138"/>
      <c r="E495" s="2138"/>
      <c r="F495" s="2138"/>
      <c r="G495" s="2138"/>
    </row>
    <row r="496" spans="1:7" ht="13.2">
      <c r="A496" s="143"/>
      <c r="B496" s="143"/>
      <c r="C496" s="14"/>
      <c r="D496" s="282"/>
      <c r="E496" s="282"/>
      <c r="F496" s="282"/>
    </row>
    <row r="497" spans="1:7" ht="13.2">
      <c r="A497" s="140"/>
      <c r="B497" s="140"/>
      <c r="C497" s="14"/>
      <c r="D497" s="2179" t="s">
        <v>1239</v>
      </c>
      <c r="E497" s="2179"/>
      <c r="F497" s="2179"/>
    </row>
    <row r="498" spans="1:7" ht="13.2">
      <c r="D498" s="2180" t="s">
        <v>1573</v>
      </c>
      <c r="E498" s="2180"/>
      <c r="F498" s="2180"/>
    </row>
    <row r="499" spans="1:7" ht="14.4">
      <c r="A499" s="413"/>
      <c r="B499" s="413"/>
      <c r="C499" s="14"/>
      <c r="D499" s="667"/>
      <c r="E499" s="282"/>
      <c r="F499" s="282"/>
    </row>
    <row r="500" spans="1:7" ht="14.4">
      <c r="A500" s="413"/>
      <c r="B500" s="1503" t="s">
        <v>136</v>
      </c>
      <c r="C500" s="14"/>
      <c r="D500" s="2181" t="s">
        <v>1783</v>
      </c>
      <c r="E500" s="2181"/>
      <c r="F500" s="2181"/>
    </row>
    <row r="501" spans="1:7" ht="14.4">
      <c r="A501" s="413"/>
      <c r="B501" s="413"/>
      <c r="C501" s="14"/>
      <c r="D501" s="2181"/>
      <c r="E501" s="2181"/>
      <c r="F501" s="2181"/>
    </row>
    <row r="502" spans="1:7" ht="14.4">
      <c r="A502" s="413"/>
      <c r="B502" s="413"/>
      <c r="C502" s="14"/>
      <c r="D502" s="287"/>
      <c r="E502" s="282"/>
      <c r="F502" s="282"/>
    </row>
    <row r="503" spans="1:7" ht="14.4">
      <c r="A503" s="570"/>
      <c r="B503" s="950" t="s">
        <v>1533</v>
      </c>
      <c r="D503" s="2182" t="s">
        <v>2144</v>
      </c>
      <c r="E503" s="2099"/>
      <c r="F503" s="2099"/>
    </row>
    <row r="504" spans="1:7" ht="14.4">
      <c r="A504" s="570"/>
      <c r="B504" s="570"/>
      <c r="D504" s="2099"/>
      <c r="E504" s="2099"/>
      <c r="F504" s="2099"/>
    </row>
    <row r="505" spans="1:7" ht="14.4">
      <c r="A505" s="570"/>
      <c r="B505" s="570"/>
      <c r="D505" s="2099"/>
      <c r="E505" s="2099"/>
      <c r="F505" s="2099"/>
      <c r="G505" s="2"/>
    </row>
    <row r="506" spans="1:7" ht="14.4">
      <c r="A506" s="570"/>
      <c r="B506" s="570"/>
      <c r="D506" s="2099"/>
      <c r="E506" s="2099"/>
      <c r="F506" s="2099"/>
      <c r="G506" s="2"/>
    </row>
    <row r="507" spans="1:7" ht="13.2">
      <c r="A507" s="150"/>
      <c r="B507" s="150"/>
      <c r="G507" s="2"/>
    </row>
    <row r="508" spans="1:7" ht="14.4">
      <c r="A508" s="413"/>
      <c r="B508" s="950" t="s">
        <v>1533</v>
      </c>
      <c r="C508" s="14"/>
      <c r="D508" s="2089" t="s">
        <v>1785</v>
      </c>
      <c r="E508" s="2089"/>
      <c r="F508" s="2089"/>
      <c r="G508" s="2"/>
    </row>
    <row r="509" spans="1:7" ht="13.2">
      <c r="A509" s="140"/>
      <c r="B509" s="140"/>
      <c r="C509" s="14"/>
      <c r="D509" s="287"/>
      <c r="E509" s="282"/>
      <c r="F509" s="282"/>
      <c r="G509" s="2"/>
    </row>
    <row r="510" spans="1:7" ht="14.4">
      <c r="A510" s="413"/>
      <c r="B510" s="950" t="s">
        <v>1533</v>
      </c>
      <c r="C510" s="14"/>
      <c r="D510" s="2088" t="s">
        <v>1786</v>
      </c>
      <c r="E510" s="2088"/>
      <c r="F510" s="2088"/>
      <c r="G510" s="2"/>
    </row>
    <row r="511" spans="1:7" ht="13.2">
      <c r="A511" s="140"/>
      <c r="B511" s="140"/>
      <c r="C511" s="14"/>
      <c r="D511" s="2088"/>
      <c r="E511" s="2088"/>
      <c r="F511" s="2088"/>
      <c r="G511" s="2"/>
    </row>
    <row r="512" spans="1:7" ht="13.2">
      <c r="A512" s="140"/>
      <c r="B512" s="140"/>
      <c r="C512" s="14"/>
      <c r="D512" s="702"/>
      <c r="E512" s="282"/>
      <c r="F512" s="282"/>
      <c r="G512" s="2"/>
    </row>
    <row r="513" spans="1:7" ht="14.4">
      <c r="A513" s="413"/>
      <c r="B513" s="1503" t="s">
        <v>136</v>
      </c>
      <c r="C513" s="14"/>
      <c r="D513" s="2089" t="s">
        <v>1784</v>
      </c>
      <c r="E513" s="2089"/>
      <c r="F513" s="2089"/>
    </row>
    <row r="514" spans="1:7" ht="14.4">
      <c r="A514" s="413"/>
      <c r="B514" s="413"/>
      <c r="C514" s="14"/>
      <c r="D514" s="287"/>
      <c r="E514" s="282"/>
      <c r="F514" s="282"/>
    </row>
    <row r="515" spans="1:7" ht="13.2">
      <c r="A515" s="2138" t="s">
        <v>1537</v>
      </c>
      <c r="B515" s="2138"/>
      <c r="C515" s="2138"/>
      <c r="D515" s="2138"/>
      <c r="E515" s="2138"/>
      <c r="F515" s="2138"/>
      <c r="G515" s="2138"/>
    </row>
    <row r="516" spans="1:7" ht="12" customHeight="1">
      <c r="A516" s="413"/>
      <c r="B516" s="413"/>
      <c r="C516" s="14"/>
      <c r="D516" s="287"/>
      <c r="E516" s="282"/>
      <c r="F516" s="282"/>
    </row>
    <row r="517" spans="1:7" ht="13.2">
      <c r="A517" s="150"/>
      <c r="B517" s="950" t="s">
        <v>1533</v>
      </c>
      <c r="C517" s="406"/>
      <c r="D517" s="2105" t="s">
        <v>1714</v>
      </c>
      <c r="E517" s="2105"/>
      <c r="F517" s="2105"/>
    </row>
    <row r="518" spans="1:7" ht="13.2">
      <c r="A518" s="150"/>
      <c r="C518" s="406"/>
      <c r="D518" s="2105"/>
      <c r="E518" s="2105"/>
      <c r="F518" s="2105"/>
    </row>
    <row r="519" spans="1:7" ht="13.2">
      <c r="A519" s="573"/>
      <c r="B519" s="573"/>
      <c r="C519" s="571"/>
      <c r="D519" s="2105"/>
      <c r="E519" s="2105"/>
      <c r="F519" s="2105"/>
    </row>
    <row r="520" spans="1:7" ht="13.2">
      <c r="A520" s="573"/>
      <c r="B520" s="573"/>
      <c r="C520" s="571"/>
      <c r="D520" s="2105"/>
      <c r="E520" s="2105"/>
      <c r="F520" s="2105"/>
    </row>
    <row r="521" spans="1:7" ht="13.2">
      <c r="A521" s="573"/>
      <c r="B521" s="573"/>
      <c r="C521" s="571"/>
    </row>
    <row r="522" spans="1:7" ht="14.4">
      <c r="A522" s="413"/>
      <c r="B522" s="1503" t="s">
        <v>136</v>
      </c>
      <c r="C522" s="322"/>
      <c r="D522" s="1869" t="s">
        <v>1730</v>
      </c>
      <c r="E522" s="1869"/>
      <c r="F522" s="1869"/>
      <c r="G522" s="2"/>
    </row>
    <row r="523" spans="1:7" ht="13.2">
      <c r="A523" s="355"/>
      <c r="B523" s="355"/>
      <c r="C523" s="322"/>
      <c r="D523" s="1869"/>
      <c r="E523" s="1869"/>
      <c r="F523" s="1869"/>
      <c r="G523" s="2"/>
    </row>
    <row r="524" spans="1:7" ht="13.2">
      <c r="A524" s="573"/>
      <c r="B524" s="573"/>
      <c r="C524" s="571"/>
      <c r="D524" s="403"/>
      <c r="G524" s="2"/>
    </row>
    <row r="525" spans="1:7" ht="14.4">
      <c r="A525" s="570"/>
      <c r="B525" s="1503" t="s">
        <v>136</v>
      </c>
      <c r="D525" s="2149" t="s">
        <v>1703</v>
      </c>
      <c r="E525" s="2149"/>
      <c r="F525" s="2149"/>
      <c r="G525" s="2"/>
    </row>
    <row r="526" spans="1:7" ht="14.4">
      <c r="A526" s="570"/>
      <c r="B526" s="570"/>
      <c r="D526" s="2149"/>
      <c r="E526" s="2149"/>
      <c r="F526" s="2149"/>
      <c r="G526" s="2"/>
    </row>
    <row r="527" spans="1:7" ht="13.2">
      <c r="A527" s="150"/>
      <c r="B527" s="150"/>
      <c r="D527" s="2149"/>
      <c r="E527" s="2149"/>
      <c r="F527" s="2149"/>
    </row>
    <row r="528" spans="1:7" ht="12" customHeight="1">
      <c r="A528" s="701"/>
      <c r="B528" s="701"/>
      <c r="C528" s="405"/>
      <c r="E528" s="403"/>
    </row>
    <row r="529" spans="1:7" ht="13.2">
      <c r="A529" s="2138" t="s">
        <v>1549</v>
      </c>
      <c r="B529" s="2138"/>
      <c r="C529" s="2138"/>
      <c r="D529" s="2138"/>
      <c r="E529" s="2138"/>
      <c r="F529" s="2138"/>
      <c r="G529" s="2138"/>
    </row>
    <row r="530" spans="1:7" ht="12" customHeight="1">
      <c r="A530" s="143"/>
      <c r="B530" s="143"/>
      <c r="C530" s="322"/>
      <c r="D530" s="282"/>
      <c r="E530" s="287"/>
      <c r="F530" s="282"/>
    </row>
    <row r="531" spans="1:7" ht="13.2">
      <c r="A531" s="140"/>
      <c r="B531" s="140"/>
      <c r="C531" s="322"/>
      <c r="D531" s="2092" t="s">
        <v>1581</v>
      </c>
      <c r="E531" s="2092"/>
      <c r="F531" s="2092"/>
    </row>
    <row r="532" spans="1:7" ht="13.2">
      <c r="A532" s="140"/>
      <c r="B532" s="140"/>
      <c r="C532" s="14"/>
      <c r="D532" s="282"/>
      <c r="E532" s="282"/>
      <c r="F532" s="282"/>
    </row>
    <row r="533" spans="1:7" ht="13.2">
      <c r="A533" s="140"/>
      <c r="B533" s="1503" t="s">
        <v>136</v>
      </c>
      <c r="C533" s="14"/>
      <c r="D533" s="2088" t="s">
        <v>1749</v>
      </c>
      <c r="E533" s="2088"/>
      <c r="F533" s="2088"/>
    </row>
    <row r="534" spans="1:7" ht="13.2">
      <c r="A534" s="140"/>
      <c r="B534" s="140"/>
      <c r="C534" s="14"/>
      <c r="D534" s="2088"/>
      <c r="E534" s="2088"/>
      <c r="F534" s="2088"/>
    </row>
    <row r="535" spans="1:7" ht="12" customHeight="1">
      <c r="A535" s="355"/>
      <c r="B535" s="355"/>
      <c r="C535" s="322"/>
      <c r="D535" s="287"/>
      <c r="E535" s="282"/>
      <c r="F535" s="282"/>
    </row>
    <row r="536" spans="1:7" ht="14.4">
      <c r="A536" s="413"/>
      <c r="B536" s="1503" t="s">
        <v>136</v>
      </c>
      <c r="C536" s="322"/>
      <c r="D536" s="2088" t="s">
        <v>1750</v>
      </c>
      <c r="E536" s="2088"/>
      <c r="F536" s="2088"/>
    </row>
    <row r="537" spans="1:7" ht="13.2">
      <c r="A537" s="355"/>
      <c r="B537" s="355"/>
      <c r="C537" s="322"/>
      <c r="D537" s="2088"/>
      <c r="E537" s="2088"/>
      <c r="F537" s="2088"/>
    </row>
    <row r="538" spans="1:7" ht="12" customHeight="1">
      <c r="A538" s="355"/>
      <c r="B538" s="355"/>
      <c r="C538" s="322"/>
      <c r="D538" s="287"/>
      <c r="E538" s="282"/>
      <c r="F538" s="282"/>
    </row>
    <row r="539" spans="1:7" ht="13.2">
      <c r="A539" s="2109" t="s">
        <v>1590</v>
      </c>
      <c r="B539" s="2109"/>
      <c r="C539" s="2109"/>
      <c r="D539" s="2109"/>
      <c r="E539" s="2109"/>
      <c r="F539" s="2109"/>
      <c r="G539" s="2109"/>
    </row>
    <row r="540" spans="1:7" ht="12" customHeight="1">
      <c r="A540" s="143"/>
      <c r="B540" s="143"/>
      <c r="C540" s="322"/>
      <c r="D540" s="287"/>
      <c r="E540" s="282"/>
      <c r="F540" s="282"/>
    </row>
    <row r="541" spans="1:7" ht="13.2">
      <c r="A541" s="140"/>
      <c r="B541" s="140"/>
      <c r="C541" s="322"/>
      <c r="D541" s="2092" t="s">
        <v>181</v>
      </c>
      <c r="E541" s="2092"/>
      <c r="F541" s="2092"/>
    </row>
    <row r="542" spans="1:7" ht="13.2">
      <c r="A542" s="140"/>
      <c r="B542" s="140"/>
      <c r="C542" s="322"/>
      <c r="D542" s="2089" t="s">
        <v>1726</v>
      </c>
      <c r="E542" s="2089"/>
      <c r="F542" s="2089"/>
    </row>
    <row r="543" spans="1:7" ht="13.2">
      <c r="A543" s="140"/>
      <c r="B543" s="140"/>
      <c r="C543" s="322"/>
      <c r="D543" s="287"/>
      <c r="E543" s="287"/>
      <c r="F543" s="287"/>
    </row>
    <row r="544" spans="1:7" ht="14.4">
      <c r="A544" s="413"/>
      <c r="B544" s="950" t="s">
        <v>1533</v>
      </c>
      <c r="C544" s="322"/>
      <c r="D544" s="2089" t="s">
        <v>1232</v>
      </c>
      <c r="E544" s="2089"/>
      <c r="F544" s="2089"/>
    </row>
    <row r="545" spans="1:7" ht="12" customHeight="1">
      <c r="A545" s="355"/>
      <c r="B545" s="355"/>
      <c r="C545" s="322"/>
      <c r="D545" s="287"/>
      <c r="E545" s="2"/>
      <c r="F545" s="2"/>
      <c r="G545" s="2"/>
    </row>
    <row r="546" spans="1:7" ht="14.4" customHeight="1">
      <c r="A546" s="413"/>
      <c r="B546" s="1507" t="s">
        <v>1533</v>
      </c>
      <c r="C546" s="322"/>
      <c r="D546" s="2088" t="s">
        <v>1725</v>
      </c>
      <c r="E546" s="2088"/>
      <c r="F546" s="2088"/>
      <c r="G546" s="2"/>
    </row>
    <row r="547" spans="1:7" ht="13.2">
      <c r="A547" s="355"/>
      <c r="B547" s="355"/>
      <c r="C547" s="322"/>
      <c r="D547" s="2088"/>
      <c r="E547" s="2088"/>
      <c r="F547" s="2088"/>
      <c r="G547" s="2"/>
    </row>
    <row r="548" spans="1:7" ht="12" customHeight="1">
      <c r="A548" s="355"/>
      <c r="B548" s="355"/>
      <c r="C548" s="322"/>
      <c r="D548" s="287"/>
      <c r="E548" s="2"/>
      <c r="F548" s="2"/>
      <c r="G548" s="2"/>
    </row>
    <row r="549" spans="1:7" ht="14.4">
      <c r="A549" s="413"/>
      <c r="B549" s="1507" t="s">
        <v>1533</v>
      </c>
      <c r="C549" s="322"/>
      <c r="D549" s="2088" t="s">
        <v>1727</v>
      </c>
      <c r="E549" s="2088"/>
      <c r="F549" s="2088"/>
      <c r="G549" s="2"/>
    </row>
    <row r="550" spans="1:7" ht="13.2">
      <c r="A550" s="355"/>
      <c r="B550" s="355"/>
      <c r="C550" s="322"/>
      <c r="D550" s="2088"/>
      <c r="E550" s="2088"/>
      <c r="F550" s="2088"/>
      <c r="G550" s="2"/>
    </row>
    <row r="551" spans="1:7" ht="12" customHeight="1">
      <c r="A551" s="355"/>
      <c r="B551" s="355"/>
      <c r="C551" s="322"/>
      <c r="D551" s="287"/>
      <c r="E551" s="2"/>
      <c r="F551" s="2"/>
      <c r="G551" s="2"/>
    </row>
    <row r="552" spans="1:7" ht="14.4">
      <c r="A552" s="413"/>
      <c r="B552" s="1507" t="s">
        <v>1533</v>
      </c>
      <c r="C552" s="322"/>
      <c r="D552" s="2088" t="s">
        <v>1728</v>
      </c>
      <c r="E552" s="2088"/>
      <c r="F552" s="2088"/>
      <c r="G552" s="2"/>
    </row>
    <row r="553" spans="1:7" ht="13.2">
      <c r="A553" s="355"/>
      <c r="B553" s="355"/>
      <c r="C553" s="322"/>
      <c r="D553" s="2088"/>
      <c r="E553" s="2088"/>
      <c r="F553" s="2088"/>
      <c r="G553" s="2"/>
    </row>
    <row r="554" spans="1:7" ht="12" customHeight="1">
      <c r="A554" s="355"/>
      <c r="B554" s="355"/>
      <c r="C554" s="322"/>
      <c r="D554" s="287"/>
      <c r="E554" s="2"/>
      <c r="F554" s="2"/>
      <c r="G554" s="2"/>
    </row>
    <row r="555" spans="1:7" ht="14.4" customHeight="1">
      <c r="A555" s="413"/>
      <c r="B555" s="1507" t="s">
        <v>1533</v>
      </c>
      <c r="C555" s="322"/>
      <c r="D555" s="2088" t="s">
        <v>1729</v>
      </c>
      <c r="E555" s="2088"/>
      <c r="F555" s="2088"/>
      <c r="G555" s="2"/>
    </row>
    <row r="556" spans="1:7" ht="13.2">
      <c r="A556" s="355"/>
      <c r="B556" s="355"/>
      <c r="C556" s="322"/>
      <c r="D556" s="2088"/>
      <c r="E556" s="2088"/>
      <c r="F556" s="2088"/>
      <c r="G556" s="2"/>
    </row>
    <row r="557" spans="1:7" ht="13.2">
      <c r="A557" s="355"/>
      <c r="B557" s="355"/>
      <c r="C557" s="322"/>
      <c r="D557" s="2088"/>
      <c r="E557" s="2088"/>
      <c r="F557" s="2088"/>
      <c r="G557" s="2"/>
    </row>
    <row r="558" spans="1:7" ht="13.2">
      <c r="A558" s="355"/>
      <c r="B558" s="355"/>
      <c r="C558" s="322"/>
      <c r="D558" s="287"/>
      <c r="E558" s="2"/>
      <c r="F558" s="2"/>
      <c r="G558" s="2"/>
    </row>
    <row r="559" spans="1:7" ht="14.4">
      <c r="A559" s="413"/>
      <c r="B559" s="1503" t="s">
        <v>136</v>
      </c>
      <c r="C559" s="322"/>
      <c r="D559" s="1870" t="s">
        <v>1841</v>
      </c>
      <c r="E559" s="1869"/>
      <c r="F559" s="1869"/>
      <c r="G559" s="2"/>
    </row>
    <row r="560" spans="1:7" ht="13.2">
      <c r="A560" s="355"/>
      <c r="B560" s="355"/>
      <c r="C560" s="322"/>
      <c r="D560" s="1869"/>
      <c r="E560" s="1869"/>
      <c r="F560" s="1869"/>
      <c r="G560" s="2"/>
    </row>
    <row r="561" spans="1:7" ht="13.2">
      <c r="A561" s="355"/>
      <c r="B561" s="355"/>
      <c r="C561" s="322"/>
      <c r="D561" s="701"/>
      <c r="E561" s="282"/>
      <c r="F561" s="282"/>
      <c r="G561" s="2"/>
    </row>
    <row r="562" spans="1:7" ht="14.4">
      <c r="A562" s="413"/>
      <c r="B562" s="950" t="s">
        <v>136</v>
      </c>
      <c r="C562" s="322"/>
      <c r="D562" s="2088" t="s">
        <v>1731</v>
      </c>
      <c r="E562" s="2088"/>
      <c r="F562" s="2088"/>
      <c r="G562" s="2"/>
    </row>
    <row r="563" spans="1:7" ht="13.2">
      <c r="A563" s="355"/>
      <c r="B563" s="355"/>
      <c r="C563" s="322"/>
      <c r="D563" s="2088"/>
      <c r="E563" s="2088"/>
      <c r="F563" s="2088"/>
      <c r="G563" s="2"/>
    </row>
    <row r="564" spans="1:7" ht="12" customHeight="1">
      <c r="A564" s="355"/>
      <c r="B564" s="355"/>
      <c r="C564" s="322"/>
      <c r="D564" s="287"/>
      <c r="E564" s="282"/>
      <c r="F564" s="282"/>
      <c r="G564" s="2"/>
    </row>
    <row r="565" spans="1:7" ht="14.4">
      <c r="A565" s="413"/>
      <c r="B565" s="1507" t="s">
        <v>1533</v>
      </c>
      <c r="C565" s="322"/>
      <c r="D565" s="2089" t="s">
        <v>1732</v>
      </c>
      <c r="E565" s="2089"/>
      <c r="F565" s="2089"/>
      <c r="G565" s="2"/>
    </row>
    <row r="566" spans="1:7" ht="14.4">
      <c r="A566" s="413"/>
      <c r="B566" s="413"/>
      <c r="C566" s="322"/>
      <c r="D566" s="2089" t="s">
        <v>1135</v>
      </c>
      <c r="E566" s="2089"/>
      <c r="F566" s="2089"/>
      <c r="G566" s="2"/>
    </row>
    <row r="567" spans="1:7" ht="13.2">
      <c r="A567" s="410"/>
      <c r="B567" s="410"/>
      <c r="C567" s="405"/>
      <c r="D567" s="282"/>
      <c r="E567" s="2127" t="s">
        <v>1733</v>
      </c>
      <c r="F567" s="2127"/>
      <c r="G567" s="2"/>
    </row>
    <row r="568" spans="1:7" ht="15" customHeight="1">
      <c r="A568" s="410"/>
      <c r="B568" s="410"/>
      <c r="C568" s="405"/>
      <c r="D568" s="2096" t="s">
        <v>1982</v>
      </c>
      <c r="E568" s="2093"/>
      <c r="F568" s="2093"/>
      <c r="G568" s="2"/>
    </row>
    <row r="569" spans="1:7" ht="13.2">
      <c r="A569" s="410"/>
      <c r="B569" s="410"/>
      <c r="C569" s="405"/>
      <c r="D569" s="2093"/>
      <c r="E569" s="2093"/>
      <c r="F569" s="2093"/>
      <c r="G569" s="2"/>
    </row>
    <row r="570" spans="1:7" ht="13.2">
      <c r="A570" s="410"/>
      <c r="B570" s="410"/>
      <c r="C570" s="405"/>
      <c r="D570" s="2093"/>
      <c r="E570" s="2093"/>
      <c r="F570" s="2093"/>
      <c r="G570" s="2"/>
    </row>
    <row r="571" spans="1:7" ht="13.2">
      <c r="A571" s="410"/>
      <c r="B571" s="410"/>
      <c r="C571" s="405"/>
      <c r="D571" s="2093"/>
      <c r="E571" s="2093"/>
      <c r="F571" s="2093"/>
      <c r="G571" s="2"/>
    </row>
    <row r="572" spans="1:7" ht="13.2">
      <c r="A572" s="410"/>
      <c r="B572" s="410"/>
      <c r="C572" s="405"/>
      <c r="D572" s="2093"/>
      <c r="E572" s="2093"/>
      <c r="F572" s="2093"/>
      <c r="G572" s="2"/>
    </row>
    <row r="573" spans="1:7" ht="13.2">
      <c r="A573" s="410"/>
      <c r="B573" s="410"/>
      <c r="C573" s="405"/>
      <c r="D573" s="2093"/>
      <c r="E573" s="2093"/>
      <c r="F573" s="2093"/>
      <c r="G573" s="2"/>
    </row>
    <row r="574" spans="1:7" ht="13.2">
      <c r="A574" s="410"/>
      <c r="B574" s="410"/>
      <c r="C574" s="405"/>
      <c r="D574" s="2093"/>
      <c r="E574" s="2093"/>
      <c r="F574" s="2093"/>
      <c r="G574" s="2"/>
    </row>
    <row r="575" spans="1:7" ht="13.2">
      <c r="A575" s="410"/>
      <c r="B575" s="410"/>
      <c r="C575" s="405"/>
      <c r="D575" s="2093"/>
      <c r="E575" s="2093"/>
      <c r="F575" s="2093"/>
      <c r="G575" s="2"/>
    </row>
    <row r="576" spans="1:7" ht="13.2">
      <c r="A576" s="410"/>
      <c r="B576" s="410"/>
      <c r="C576" s="405"/>
      <c r="D576" s="2093"/>
      <c r="E576" s="2093"/>
      <c r="F576" s="2093"/>
      <c r="G576" s="2"/>
    </row>
    <row r="577" spans="1:7" ht="13.2">
      <c r="A577" s="410"/>
      <c r="B577" s="410"/>
      <c r="C577" s="405"/>
      <c r="D577" s="954"/>
      <c r="E577" s="954"/>
      <c r="F577" s="954"/>
      <c r="G577" s="2"/>
    </row>
    <row r="578" spans="1:7" ht="14.4">
      <c r="A578" s="570"/>
      <c r="B578" s="1507" t="s">
        <v>1533</v>
      </c>
      <c r="C578" s="405"/>
      <c r="D578" s="2132" t="s">
        <v>1734</v>
      </c>
      <c r="E578" s="2132"/>
      <c r="F578" s="2132"/>
      <c r="G578" s="2"/>
    </row>
    <row r="579" spans="1:7" ht="13.65" customHeight="1">
      <c r="A579" s="140"/>
      <c r="B579" s="140"/>
      <c r="C579" s="322"/>
      <c r="D579" s="2088" t="s">
        <v>1735</v>
      </c>
      <c r="E579" s="2088"/>
      <c r="F579" s="2088"/>
      <c r="G579" s="2"/>
    </row>
    <row r="580" spans="1:7" ht="13.2">
      <c r="A580" s="355"/>
      <c r="B580" s="355"/>
      <c r="C580" s="322"/>
      <c r="D580" s="2088"/>
      <c r="E580" s="2088"/>
      <c r="F580" s="2088"/>
      <c r="G580" s="2"/>
    </row>
    <row r="581" spans="1:7" ht="13.2">
      <c r="A581" s="355"/>
      <c r="B581" s="355"/>
      <c r="C581" s="322"/>
      <c r="D581" s="2088"/>
      <c r="E581" s="2088"/>
      <c r="F581" s="2088"/>
      <c r="G581" s="2"/>
    </row>
    <row r="582" spans="1:7" ht="13.2">
      <c r="A582" s="355"/>
      <c r="B582" s="355"/>
      <c r="C582" s="322"/>
      <c r="D582" s="980"/>
      <c r="E582" s="980"/>
      <c r="F582" s="980"/>
      <c r="G582" s="2"/>
    </row>
    <row r="583" spans="1:7" ht="14.4" customHeight="1">
      <c r="A583" s="413"/>
      <c r="B583" s="1507" t="s">
        <v>1533</v>
      </c>
      <c r="C583" s="322"/>
      <c r="D583" s="2088" t="s">
        <v>1736</v>
      </c>
      <c r="E583" s="2088"/>
      <c r="F583" s="2088"/>
      <c r="G583" s="2"/>
    </row>
    <row r="584" spans="1:7" ht="14.4">
      <c r="A584" s="413"/>
      <c r="B584" s="413"/>
      <c r="C584" s="322"/>
      <c r="D584" s="2088"/>
      <c r="E584" s="2088"/>
      <c r="F584" s="2088"/>
      <c r="G584" s="2"/>
    </row>
    <row r="585" spans="1:7" ht="14.4">
      <c r="A585" s="413"/>
      <c r="B585" s="413"/>
      <c r="C585" s="322"/>
      <c r="D585" s="2088"/>
      <c r="E585" s="2088"/>
      <c r="F585" s="2088"/>
    </row>
    <row r="586" spans="1:7" ht="13.2">
      <c r="A586" s="355"/>
      <c r="B586" s="355"/>
      <c r="C586" s="322"/>
      <c r="D586" s="2088"/>
      <c r="E586" s="2088"/>
      <c r="F586" s="2088"/>
    </row>
    <row r="587" spans="1:7" ht="13.2">
      <c r="A587" s="355"/>
      <c r="B587" s="355"/>
      <c r="C587" s="322"/>
      <c r="D587" s="287"/>
      <c r="E587" s="282"/>
      <c r="F587" s="282"/>
    </row>
    <row r="588" spans="1:7" ht="13.2">
      <c r="A588" s="415"/>
      <c r="B588" s="950" t="s">
        <v>136</v>
      </c>
      <c r="C588" s="299"/>
      <c r="D588" s="2161" t="s">
        <v>2054</v>
      </c>
      <c r="E588" s="2107"/>
      <c r="F588" s="2107"/>
      <c r="G588" s="288"/>
    </row>
    <row r="589" spans="1:7" ht="13.2">
      <c r="A589" s="415"/>
      <c r="B589" s="415"/>
      <c r="C589" s="299"/>
      <c r="D589" s="282"/>
      <c r="E589" s="282"/>
      <c r="F589" s="282"/>
      <c r="G589" s="288"/>
    </row>
    <row r="590" spans="1:7" ht="13.2">
      <c r="A590" s="355"/>
      <c r="B590" s="355"/>
      <c r="C590" s="322"/>
      <c r="D590" s="959"/>
      <c r="E590" s="959"/>
      <c r="F590" s="959"/>
    </row>
    <row r="591" spans="1:7" ht="13.2">
      <c r="A591" s="2138" t="s">
        <v>1551</v>
      </c>
      <c r="B591" s="2138"/>
      <c r="C591" s="2138"/>
      <c r="D591" s="2138"/>
      <c r="E591" s="2138"/>
      <c r="F591" s="2138"/>
      <c r="G591" s="2138"/>
    </row>
    <row r="592" spans="1:7" ht="13.2">
      <c r="A592" s="355"/>
      <c r="B592" s="355"/>
      <c r="C592" s="322"/>
      <c r="D592" s="282"/>
      <c r="E592" s="282"/>
      <c r="F592" s="282"/>
    </row>
    <row r="593" spans="1:7" ht="13.2">
      <c r="A593" s="140"/>
      <c r="B593" s="140"/>
      <c r="C593" s="298"/>
      <c r="D593" s="2116" t="s">
        <v>182</v>
      </c>
      <c r="E593" s="2116"/>
      <c r="F593" s="2116"/>
      <c r="G593" s="288"/>
    </row>
    <row r="594" spans="1:7" ht="13.2">
      <c r="A594" s="140"/>
      <c r="B594" s="140"/>
      <c r="C594" s="298"/>
      <c r="D594" s="2131" t="s">
        <v>1612</v>
      </c>
      <c r="E594" s="2131"/>
      <c r="F594" s="2131"/>
      <c r="G594" s="288"/>
    </row>
    <row r="595" spans="1:7" ht="13.2">
      <c r="A595" s="140"/>
      <c r="B595" s="140"/>
      <c r="C595" s="298"/>
      <c r="D595" s="593"/>
      <c r="E595" s="282"/>
      <c r="F595" s="282"/>
      <c r="G595" s="288"/>
    </row>
    <row r="596" spans="1:7" ht="14.4">
      <c r="A596" s="413"/>
      <c r="B596" s="950" t="s">
        <v>1533</v>
      </c>
      <c r="C596" s="14"/>
      <c r="D596" s="2131" t="s">
        <v>1233</v>
      </c>
      <c r="E596" s="2131"/>
      <c r="F596" s="2131"/>
      <c r="G596" s="288"/>
    </row>
    <row r="597" spans="1:7" ht="13.2">
      <c r="A597" s="33"/>
      <c r="B597" s="33"/>
      <c r="C597" s="14"/>
      <c r="D597" s="597"/>
      <c r="E597" s="282"/>
      <c r="F597" s="282"/>
      <c r="G597" s="288"/>
    </row>
    <row r="598" spans="1:7" ht="14.4" customHeight="1">
      <c r="A598" s="413"/>
      <c r="B598" s="1507" t="s">
        <v>1533</v>
      </c>
      <c r="C598" s="14"/>
      <c r="D598" s="2099" t="s">
        <v>1614</v>
      </c>
      <c r="E598" s="2099"/>
      <c r="F598" s="2099"/>
      <c r="G598" s="288"/>
    </row>
    <row r="599" spans="1:7" ht="14.4" customHeight="1">
      <c r="A599" s="413"/>
      <c r="B599" s="413"/>
      <c r="C599" s="14"/>
      <c r="D599" s="2099"/>
      <c r="E599" s="2099"/>
      <c r="F599" s="2099"/>
      <c r="G599" s="288"/>
    </row>
    <row r="600" spans="1:7" ht="14.4">
      <c r="A600" s="413"/>
      <c r="B600" s="413"/>
      <c r="C600" s="14"/>
      <c r="D600" s="2099"/>
      <c r="E600" s="2099"/>
      <c r="F600" s="2099"/>
      <c r="G600" s="288"/>
    </row>
    <row r="601" spans="1:7" ht="14.4">
      <c r="A601" s="413"/>
      <c r="B601" s="413"/>
      <c r="C601" s="14"/>
      <c r="D601" s="958"/>
      <c r="E601" s="958"/>
      <c r="F601" s="958"/>
      <c r="G601" s="288"/>
    </row>
    <row r="602" spans="1:7" ht="14.4">
      <c r="A602" s="413"/>
      <c r="B602" s="950" t="s">
        <v>136</v>
      </c>
      <c r="C602" s="14"/>
      <c r="D602" s="2099" t="s">
        <v>1613</v>
      </c>
      <c r="E602" s="2099"/>
      <c r="F602" s="2099"/>
      <c r="G602" s="288"/>
    </row>
    <row r="603" spans="1:7" ht="14.4">
      <c r="A603" s="413"/>
      <c r="B603" s="413"/>
      <c r="C603" s="14"/>
      <c r="D603" s="2099"/>
      <c r="E603" s="2099"/>
      <c r="F603" s="2099"/>
      <c r="G603" s="288"/>
    </row>
    <row r="604" spans="1:7" ht="14.4">
      <c r="A604" s="413"/>
      <c r="B604" s="413"/>
      <c r="C604" s="14"/>
      <c r="D604" s="2099"/>
      <c r="E604" s="2099"/>
      <c r="F604" s="2099"/>
      <c r="G604" s="288"/>
    </row>
    <row r="605" spans="1:7" ht="14.4">
      <c r="A605" s="413"/>
      <c r="B605" s="413"/>
      <c r="C605" s="14"/>
      <c r="D605" s="2099"/>
      <c r="E605" s="2099"/>
      <c r="F605" s="2099"/>
      <c r="G605" s="288"/>
    </row>
    <row r="606" spans="1:7" ht="14.4">
      <c r="A606" s="413"/>
      <c r="B606" s="413"/>
      <c r="C606" s="14"/>
      <c r="D606" s="593"/>
      <c r="E606" s="282"/>
      <c r="F606" s="282"/>
      <c r="G606" s="288"/>
    </row>
    <row r="607" spans="1:7" ht="14.4">
      <c r="A607" s="570"/>
      <c r="B607" s="1507" t="s">
        <v>1533</v>
      </c>
      <c r="D607" s="2099" t="s">
        <v>1615</v>
      </c>
      <c r="E607" s="2099"/>
      <c r="F607" s="2099"/>
      <c r="G607" s="288"/>
    </row>
    <row r="608" spans="1:7" ht="14.4">
      <c r="A608" s="570"/>
      <c r="B608" s="570"/>
      <c r="D608" s="2099"/>
      <c r="E608" s="2099"/>
      <c r="F608" s="2099"/>
      <c r="G608" s="288"/>
    </row>
    <row r="609" spans="1:7" ht="14.4">
      <c r="A609" s="413"/>
      <c r="B609" s="413"/>
      <c r="C609" s="14"/>
      <c r="D609" s="593"/>
      <c r="E609" s="282"/>
      <c r="F609" s="282"/>
      <c r="G609" s="288"/>
    </row>
    <row r="610" spans="1:7" ht="14.4" customHeight="1">
      <c r="A610" s="413"/>
      <c r="B610" s="950" t="s">
        <v>136</v>
      </c>
      <c r="C610" s="14"/>
      <c r="D610" s="2131" t="s">
        <v>1621</v>
      </c>
      <c r="E610" s="2131"/>
      <c r="F610" s="2131"/>
      <c r="G610" s="288"/>
    </row>
    <row r="611" spans="1:7" ht="14.4">
      <c r="A611" s="413"/>
      <c r="B611" s="413"/>
      <c r="C611" s="14"/>
      <c r="D611" s="2131"/>
      <c r="E611" s="2131"/>
      <c r="F611" s="2131"/>
      <c r="G611" s="288"/>
    </row>
    <row r="612" spans="1:7" ht="14.4">
      <c r="A612" s="413"/>
      <c r="B612" s="413"/>
      <c r="C612" s="14"/>
      <c r="D612" s="593"/>
      <c r="E612" s="282"/>
      <c r="F612" s="282"/>
      <c r="G612" s="288"/>
    </row>
    <row r="613" spans="1:7" ht="14.4">
      <c r="A613" s="413"/>
      <c r="B613" s="1507" t="s">
        <v>1533</v>
      </c>
      <c r="C613" s="14"/>
      <c r="D613" s="2131" t="s">
        <v>1234</v>
      </c>
      <c r="E613" s="2131"/>
      <c r="F613" s="2131"/>
      <c r="G613" s="288"/>
    </row>
    <row r="614" spans="1:7" ht="13.2">
      <c r="A614" s="33"/>
      <c r="B614" s="33"/>
      <c r="C614" s="14"/>
      <c r="D614" s="282"/>
      <c r="E614" s="282"/>
      <c r="F614" s="282"/>
      <c r="G614" s="288"/>
    </row>
    <row r="615" spans="1:7" ht="13.2">
      <c r="A615" s="2138" t="s">
        <v>1553</v>
      </c>
      <c r="B615" s="2138"/>
      <c r="C615" s="2138"/>
      <c r="D615" s="2138"/>
      <c r="E615" s="2138"/>
      <c r="F615" s="2138"/>
      <c r="G615" s="2138"/>
    </row>
    <row r="616" spans="1:7" ht="13.2">
      <c r="A616" s="107"/>
      <c r="B616" s="107"/>
      <c r="C616" s="302"/>
      <c r="D616" s="283"/>
      <c r="E616" s="283"/>
      <c r="F616" s="283"/>
      <c r="G616" s="288"/>
    </row>
    <row r="617" spans="1:7" ht="13.2">
      <c r="A617" s="140"/>
      <c r="B617" s="140"/>
      <c r="C617" s="299"/>
      <c r="D617" s="2129" t="s">
        <v>1552</v>
      </c>
      <c r="E617" s="2129"/>
      <c r="F617" s="2129"/>
    </row>
    <row r="618" spans="1:7" ht="13.2">
      <c r="A618" s="140"/>
      <c r="B618" s="140"/>
      <c r="C618" s="299"/>
      <c r="D618" s="2107" t="s">
        <v>1582</v>
      </c>
      <c r="E618" s="2107"/>
      <c r="F618" s="2107"/>
    </row>
    <row r="619" spans="1:7" ht="13.2">
      <c r="A619" s="984"/>
      <c r="B619" s="984"/>
      <c r="C619" s="299"/>
      <c r="D619" s="982"/>
      <c r="E619" s="982"/>
      <c r="F619" s="982"/>
    </row>
    <row r="620" spans="1:7" ht="14.4">
      <c r="A620" s="570"/>
      <c r="B620" s="1503" t="s">
        <v>1533</v>
      </c>
      <c r="D620" s="2130" t="s">
        <v>1751</v>
      </c>
      <c r="E620" s="2130"/>
      <c r="F620" s="2130"/>
    </row>
    <row r="621" spans="1:7" ht="13.2">
      <c r="A621" s="140"/>
      <c r="B621" s="140"/>
      <c r="C621" s="14"/>
      <c r="D621" s="2130"/>
      <c r="E621" s="2130"/>
      <c r="F621" s="2130"/>
    </row>
    <row r="622" spans="1:7" ht="13.2">
      <c r="A622" s="140"/>
      <c r="B622" s="140"/>
      <c r="C622" s="14"/>
      <c r="D622" s="2130"/>
      <c r="E622" s="2130"/>
      <c r="F622" s="2130"/>
    </row>
    <row r="623" spans="1:7" ht="13.2">
      <c r="A623" s="107"/>
      <c r="B623" s="107"/>
      <c r="C623" s="302"/>
      <c r="D623" s="283"/>
      <c r="E623" s="283"/>
      <c r="F623" s="283"/>
      <c r="G623" s="288"/>
    </row>
    <row r="624" spans="1:7" ht="12" customHeight="1">
      <c r="A624" s="2138" t="s">
        <v>1555</v>
      </c>
      <c r="B624" s="2138"/>
      <c r="C624" s="2138"/>
      <c r="D624" s="2138"/>
      <c r="E624" s="2138"/>
      <c r="F624" s="2138"/>
      <c r="G624" s="2138"/>
    </row>
    <row r="625" spans="1:7" ht="13.2">
      <c r="A625" s="143"/>
      <c r="B625" s="143"/>
      <c r="C625" s="14"/>
      <c r="D625" s="282"/>
      <c r="E625" s="282"/>
      <c r="F625" s="282"/>
      <c r="G625" s="288"/>
    </row>
    <row r="626" spans="1:7" ht="13.2">
      <c r="A626" s="140"/>
      <c r="B626" s="140"/>
      <c r="C626" s="303"/>
      <c r="D626" s="2092" t="s">
        <v>1554</v>
      </c>
      <c r="E626" s="2092"/>
      <c r="F626" s="2092"/>
      <c r="G626" s="288"/>
    </row>
    <row r="627" spans="1:7" ht="13.2">
      <c r="A627" s="415"/>
      <c r="B627" s="415"/>
      <c r="C627" s="299"/>
      <c r="D627" s="2089" t="s">
        <v>1752</v>
      </c>
      <c r="E627" s="2089"/>
      <c r="F627" s="2089"/>
      <c r="G627" s="288"/>
    </row>
    <row r="628" spans="1:7" ht="13.2">
      <c r="A628" s="415"/>
      <c r="B628" s="415"/>
      <c r="C628" s="299"/>
      <c r="D628" s="282"/>
      <c r="E628" s="282"/>
      <c r="F628" s="282"/>
      <c r="G628" s="288"/>
    </row>
    <row r="629" spans="1:7" ht="14.4">
      <c r="A629" s="413"/>
      <c r="B629" s="413"/>
      <c r="C629" s="14"/>
      <c r="D629" s="2129" t="s">
        <v>956</v>
      </c>
      <c r="E629" s="2129"/>
      <c r="F629" s="2129"/>
      <c r="G629" s="288"/>
    </row>
    <row r="630" spans="1:7" ht="14.4">
      <c r="A630" s="413"/>
      <c r="B630" s="1503" t="s">
        <v>1533</v>
      </c>
      <c r="C630" s="14"/>
      <c r="D630" s="2107" t="s">
        <v>1753</v>
      </c>
      <c r="E630" s="2107"/>
      <c r="F630" s="2107"/>
      <c r="G630" s="288"/>
    </row>
    <row r="631" spans="1:7" ht="14.4">
      <c r="A631" s="413"/>
      <c r="B631" s="413"/>
      <c r="C631" s="14"/>
      <c r="D631" s="287"/>
      <c r="E631" s="282"/>
      <c r="F631" s="282"/>
      <c r="G631" s="288"/>
    </row>
    <row r="632" spans="1:7" ht="14.4">
      <c r="A632" s="413"/>
      <c r="B632" s="950" t="s">
        <v>136</v>
      </c>
      <c r="C632" s="14"/>
      <c r="D632" s="2088" t="s">
        <v>1754</v>
      </c>
      <c r="E632" s="2088"/>
      <c r="F632" s="2088"/>
      <c r="G632" s="288"/>
    </row>
    <row r="633" spans="1:7" ht="14.4">
      <c r="A633" s="413"/>
      <c r="B633" s="413"/>
      <c r="C633" s="14"/>
      <c r="D633" s="2088"/>
      <c r="E633" s="2088"/>
      <c r="F633" s="2088"/>
      <c r="G633" s="288"/>
    </row>
    <row r="634" spans="1:7" ht="14.4">
      <c r="A634" s="413"/>
      <c r="B634" s="413"/>
      <c r="C634" s="14"/>
      <c r="D634" s="287"/>
      <c r="E634" s="282"/>
      <c r="F634" s="282"/>
      <c r="G634" s="288"/>
    </row>
    <row r="635" spans="1:7" ht="14.4">
      <c r="A635" s="570"/>
      <c r="B635" s="950" t="s">
        <v>1533</v>
      </c>
      <c r="D635" s="2096" t="s">
        <v>2200</v>
      </c>
      <c r="E635" s="2096"/>
      <c r="F635" s="2096"/>
      <c r="G635" s="288"/>
    </row>
    <row r="636" spans="1:7" ht="13.65" customHeight="1">
      <c r="D636" s="2096"/>
      <c r="E636" s="2096"/>
      <c r="F636" s="2096"/>
    </row>
    <row r="637" spans="1:7" ht="13.2">
      <c r="A637" s="140"/>
      <c r="B637" s="140"/>
      <c r="C637" s="14"/>
      <c r="D637" s="282"/>
      <c r="E637" s="282"/>
      <c r="F637" s="282"/>
      <c r="G637" s="288"/>
    </row>
    <row r="638" spans="1:7" ht="14.4">
      <c r="A638" s="413"/>
      <c r="B638" s="950" t="s">
        <v>136</v>
      </c>
      <c r="C638" s="14"/>
      <c r="D638" s="2107" t="s">
        <v>1755</v>
      </c>
      <c r="E638" s="2107"/>
      <c r="F638" s="2107"/>
      <c r="G638" s="288"/>
    </row>
    <row r="639" spans="1:7" ht="13.2">
      <c r="A639" s="418"/>
      <c r="B639" s="418"/>
      <c r="C639" s="303"/>
      <c r="D639" s="282"/>
      <c r="E639" s="282"/>
      <c r="F639" s="282"/>
      <c r="G639" s="288"/>
    </row>
    <row r="640" spans="1:7" ht="13.2">
      <c r="A640" s="2138" t="s">
        <v>1556</v>
      </c>
      <c r="B640" s="2138"/>
      <c r="C640" s="2138"/>
      <c r="D640" s="2138"/>
      <c r="E640" s="2138"/>
      <c r="F640" s="2138"/>
      <c r="G640" s="2138"/>
    </row>
    <row r="641" spans="1:7" ht="13.2">
      <c r="A641" s="418"/>
      <c r="B641" s="418"/>
      <c r="C641" s="303"/>
      <c r="D641" s="282"/>
      <c r="E641" s="282"/>
      <c r="F641" s="282"/>
      <c r="G641" s="288"/>
    </row>
    <row r="642" spans="1:7" ht="13.2">
      <c r="A642" s="140"/>
      <c r="B642" s="140"/>
      <c r="C642" s="320"/>
      <c r="D642" s="2118" t="s">
        <v>1583</v>
      </c>
      <c r="E642" s="2118"/>
      <c r="F642" s="2118"/>
      <c r="G642" s="288"/>
    </row>
    <row r="643" spans="1:7" ht="13.2">
      <c r="A643" s="33"/>
      <c r="B643" s="33"/>
      <c r="C643" s="302"/>
      <c r="D643" s="6"/>
      <c r="E643" s="283"/>
      <c r="F643" s="283"/>
      <c r="G643" s="288"/>
    </row>
    <row r="644" spans="1:7" ht="14.4">
      <c r="A644" s="413"/>
      <c r="B644" s="950" t="s">
        <v>1533</v>
      </c>
      <c r="C644" s="302"/>
      <c r="D644" s="2119" t="s">
        <v>1756</v>
      </c>
      <c r="E644" s="2119"/>
      <c r="F644" s="2119"/>
      <c r="G644" s="288"/>
    </row>
    <row r="645" spans="1:7" ht="14.4">
      <c r="A645" s="413"/>
      <c r="B645" s="413"/>
      <c r="C645" s="302"/>
      <c r="D645" s="2119"/>
      <c r="E645" s="2119"/>
      <c r="F645" s="2119"/>
      <c r="G645" s="288"/>
    </row>
    <row r="646" spans="1:7" ht="13.2">
      <c r="A646" s="140"/>
      <c r="B646" s="140"/>
      <c r="C646" s="302"/>
      <c r="D646" s="2119"/>
      <c r="E646" s="2119"/>
      <c r="F646" s="2119"/>
      <c r="G646" s="288"/>
    </row>
    <row r="647" spans="1:7" ht="13.2">
      <c r="A647" s="140"/>
      <c r="B647" s="140"/>
      <c r="C647" s="302"/>
      <c r="D647" s="2119"/>
      <c r="E647" s="2119"/>
      <c r="F647" s="2119"/>
      <c r="G647" s="288"/>
    </row>
    <row r="648" spans="1:7" ht="13.2">
      <c r="A648" s="140"/>
      <c r="B648" s="140"/>
      <c r="C648" s="302"/>
      <c r="D648" s="2119"/>
      <c r="E648" s="2119"/>
      <c r="F648" s="2119"/>
      <c r="G648" s="288"/>
    </row>
    <row r="649" spans="1:7" ht="13.2">
      <c r="A649" s="140"/>
      <c r="B649" s="140"/>
      <c r="C649" s="302"/>
      <c r="D649" s="2119"/>
      <c r="E649" s="2119"/>
      <c r="F649" s="2119"/>
      <c r="G649" s="288"/>
    </row>
    <row r="650" spans="1:7" ht="13.2">
      <c r="A650" s="140"/>
      <c r="B650" s="140"/>
      <c r="C650" s="302"/>
      <c r="D650" s="282"/>
      <c r="E650" s="283"/>
      <c r="F650" s="283"/>
      <c r="G650" s="288"/>
    </row>
    <row r="651" spans="1:7" ht="14.4">
      <c r="A651" s="485"/>
      <c r="B651" s="1503" t="s">
        <v>136</v>
      </c>
      <c r="C651" s="302"/>
      <c r="D651" s="2119" t="s">
        <v>1757</v>
      </c>
      <c r="E651" s="2119"/>
      <c r="F651" s="2119"/>
      <c r="G651" s="284"/>
    </row>
    <row r="652" spans="1:7" ht="14.4">
      <c r="A652" s="485"/>
      <c r="B652" s="485"/>
      <c r="C652" s="302"/>
      <c r="D652" s="2119"/>
      <c r="E652" s="2119"/>
      <c r="F652" s="2119"/>
      <c r="G652" s="284"/>
    </row>
    <row r="653" spans="1:7" ht="14.4">
      <c r="A653" s="485"/>
      <c r="B653" s="485"/>
      <c r="C653" s="302"/>
      <c r="D653" s="287"/>
      <c r="E653" s="286"/>
      <c r="F653" s="286"/>
      <c r="G653" s="284"/>
    </row>
    <row r="654" spans="1:7" ht="13.65" customHeight="1">
      <c r="A654" s="485"/>
      <c r="B654" s="1503" t="s">
        <v>136</v>
      </c>
      <c r="C654" s="302"/>
      <c r="D654" s="2121" t="s">
        <v>2055</v>
      </c>
      <c r="E654" s="2121"/>
      <c r="F654" s="2121"/>
      <c r="G654" s="284"/>
    </row>
    <row r="655" spans="1:7" ht="14.4">
      <c r="A655" s="485"/>
      <c r="B655" s="485"/>
      <c r="C655" s="302"/>
      <c r="D655" s="2121"/>
      <c r="E655" s="2121"/>
      <c r="F655" s="2121"/>
      <c r="G655" s="284"/>
    </row>
    <row r="656" spans="1:7" ht="14.4">
      <c r="A656" s="570"/>
      <c r="B656" s="570"/>
      <c r="C656" s="285"/>
      <c r="D656" s="988"/>
      <c r="E656" s="988"/>
      <c r="F656" s="988"/>
      <c r="G656" s="284"/>
    </row>
    <row r="657" spans="1:9" ht="14.4">
      <c r="A657" s="413"/>
      <c r="B657" s="1503" t="s">
        <v>136</v>
      </c>
      <c r="C657" s="322"/>
      <c r="D657" s="2120" t="s">
        <v>1758</v>
      </c>
      <c r="E657" s="2120"/>
      <c r="F657" s="2120"/>
      <c r="G657" s="284"/>
    </row>
    <row r="658" spans="1:9" ht="13.2">
      <c r="A658" s="143"/>
      <c r="B658" s="143"/>
      <c r="C658" s="322"/>
      <c r="D658" s="286"/>
      <c r="E658" s="286"/>
      <c r="F658" s="286"/>
      <c r="G658" s="284"/>
      <c r="H658" s="404"/>
      <c r="I658" s="404"/>
    </row>
    <row r="659" spans="1:9" ht="13.2">
      <c r="A659" s="2138" t="s">
        <v>1558</v>
      </c>
      <c r="B659" s="2138"/>
      <c r="C659" s="2138"/>
      <c r="D659" s="2138"/>
      <c r="E659" s="2138"/>
      <c r="F659" s="2138"/>
      <c r="G659" s="2138"/>
    </row>
    <row r="660" spans="1:9" ht="13.2">
      <c r="A660" s="143"/>
      <c r="B660" s="143"/>
      <c r="C660" s="322"/>
      <c r="D660" s="286"/>
      <c r="E660" s="286"/>
      <c r="F660" s="286"/>
      <c r="G660" s="284"/>
    </row>
    <row r="661" spans="1:9" ht="13.2">
      <c r="A661" s="140"/>
      <c r="B661" s="140"/>
      <c r="C661" s="303"/>
      <c r="D661" s="2122" t="s">
        <v>1557</v>
      </c>
      <c r="E661" s="2122"/>
      <c r="F661" s="2122"/>
      <c r="G661" s="284"/>
    </row>
    <row r="662" spans="1:9" ht="13.2">
      <c r="A662" s="415"/>
      <c r="B662" s="415"/>
      <c r="C662" s="299"/>
      <c r="D662" s="2123" t="s">
        <v>1584</v>
      </c>
      <c r="E662" s="2123"/>
      <c r="F662" s="2123"/>
      <c r="G662" s="284"/>
    </row>
    <row r="663" spans="1:9" ht="13.2">
      <c r="A663" s="415"/>
      <c r="B663" s="415"/>
      <c r="C663" s="299"/>
      <c r="D663" s="993"/>
      <c r="E663" s="993"/>
      <c r="F663" s="993"/>
      <c r="G663" s="284"/>
    </row>
    <row r="664" spans="1:9" ht="14.4" customHeight="1">
      <c r="A664" s="413"/>
      <c r="B664" s="950" t="s">
        <v>1533</v>
      </c>
      <c r="C664" s="322"/>
      <c r="D664" s="1508" t="s">
        <v>2146</v>
      </c>
      <c r="E664" s="1508"/>
      <c r="F664" s="1508"/>
      <c r="G664" s="284"/>
    </row>
    <row r="665" spans="1:9" ht="14.4">
      <c r="A665" s="413"/>
      <c r="B665" s="413"/>
      <c r="C665" s="322"/>
      <c r="D665" s="1508"/>
      <c r="E665" s="1508"/>
      <c r="F665" s="1508"/>
      <c r="G665" s="284"/>
    </row>
    <row r="666" spans="1:9" ht="14.4">
      <c r="A666" s="413"/>
      <c r="B666" s="413"/>
      <c r="C666" s="322"/>
      <c r="D666" s="1508"/>
      <c r="E666" s="1508"/>
      <c r="F666" s="1508"/>
      <c r="G666" s="284"/>
    </row>
    <row r="667" spans="1:9" ht="14.4">
      <c r="A667" s="413"/>
      <c r="B667" s="413"/>
      <c r="C667" s="322"/>
      <c r="D667" s="1508"/>
      <c r="E667" s="1508"/>
      <c r="F667" s="1508"/>
      <c r="G667" s="284"/>
    </row>
    <row r="668" spans="1:9" ht="14.4">
      <c r="A668" s="413"/>
      <c r="B668" s="413"/>
      <c r="C668" s="322"/>
      <c r="D668" s="1508"/>
      <c r="E668" s="1508"/>
      <c r="F668" s="1508"/>
      <c r="G668" s="284"/>
    </row>
    <row r="669" spans="1:9" ht="14.4">
      <c r="A669" s="413"/>
      <c r="B669" s="413"/>
      <c r="C669" s="322"/>
      <c r="D669" s="1508"/>
      <c r="E669" s="1508"/>
      <c r="F669" s="1508"/>
      <c r="G669" s="284"/>
    </row>
    <row r="670" spans="1:9" ht="14.4" hidden="1">
      <c r="A670" s="570"/>
      <c r="B670" s="570"/>
      <c r="C670" s="405"/>
      <c r="D670" s="710"/>
      <c r="F670" s="284"/>
      <c r="G670" s="284"/>
    </row>
    <row r="671" spans="1:9" ht="14.4" hidden="1">
      <c r="A671" s="570"/>
      <c r="B671" s="950" t="s">
        <v>86</v>
      </c>
      <c r="C671" s="405"/>
      <c r="D671" s="2100" t="s">
        <v>1610</v>
      </c>
      <c r="E671" s="2100"/>
      <c r="F671" s="2100"/>
      <c r="G671" s="284"/>
    </row>
    <row r="672" spans="1:9" ht="14.4" hidden="1">
      <c r="A672" s="570"/>
      <c r="B672" s="570"/>
      <c r="C672" s="405"/>
      <c r="D672" s="2124" t="s">
        <v>1787</v>
      </c>
      <c r="E672" s="2124"/>
      <c r="F672" s="2124"/>
      <c r="G672" s="284"/>
    </row>
    <row r="673" spans="1:7" ht="14.4" hidden="1">
      <c r="A673" s="570"/>
      <c r="B673" s="570"/>
      <c r="C673" s="405"/>
      <c r="D673" s="2124"/>
      <c r="E673" s="2124"/>
      <c r="F673" s="2124"/>
      <c r="G673" s="284"/>
    </row>
    <row r="674" spans="1:7" ht="14.4" hidden="1">
      <c r="A674" s="570"/>
      <c r="B674" s="570"/>
      <c r="C674" s="405"/>
      <c r="D674" s="2124"/>
      <c r="E674" s="2124"/>
      <c r="F674" s="2124"/>
      <c r="G674" s="284"/>
    </row>
    <row r="675" spans="1:7" ht="14.4" hidden="1">
      <c r="A675" s="570"/>
      <c r="B675" s="570"/>
      <c r="C675" s="405"/>
      <c r="D675" s="2124"/>
      <c r="E675" s="2124"/>
      <c r="F675" s="2124"/>
      <c r="G675" s="284"/>
    </row>
    <row r="676" spans="1:7" ht="14.4" hidden="1">
      <c r="A676" s="570"/>
      <c r="B676" s="570"/>
      <c r="C676" s="405"/>
      <c r="D676" s="2124"/>
      <c r="E676" s="2124"/>
      <c r="F676" s="2124"/>
      <c r="G676" s="284"/>
    </row>
    <row r="677" spans="1:7" ht="14.4" hidden="1">
      <c r="A677" s="570"/>
      <c r="B677" s="570"/>
      <c r="C677" s="405"/>
      <c r="D677" s="2125" t="s">
        <v>2145</v>
      </c>
      <c r="E677" s="2125"/>
      <c r="F677" s="2125"/>
      <c r="G677" s="284"/>
    </row>
    <row r="678" spans="1:7" ht="13.2">
      <c r="A678" s="143"/>
      <c r="B678" s="143"/>
      <c r="C678" s="322"/>
      <c r="D678" s="286"/>
      <c r="E678" s="286"/>
      <c r="F678" s="286"/>
      <c r="G678" s="284"/>
    </row>
    <row r="679" spans="1:7" ht="13.2">
      <c r="A679" s="2138" t="s">
        <v>1559</v>
      </c>
      <c r="B679" s="2138"/>
      <c r="C679" s="2138"/>
      <c r="D679" s="2138"/>
      <c r="E679" s="2138"/>
      <c r="F679" s="2138"/>
      <c r="G679" s="2138"/>
    </row>
    <row r="680" spans="1:7" ht="13.2">
      <c r="A680" s="143"/>
      <c r="B680" s="143"/>
      <c r="C680" s="322"/>
      <c r="D680" s="286"/>
      <c r="E680" s="286"/>
      <c r="F680" s="286"/>
      <c r="G680" s="284"/>
    </row>
    <row r="681" spans="1:7" ht="13.2">
      <c r="A681" s="140"/>
      <c r="B681" s="140"/>
      <c r="C681" s="303"/>
      <c r="D681" s="2092" t="s">
        <v>856</v>
      </c>
      <c r="E681" s="2092"/>
      <c r="F681" s="2092"/>
      <c r="G681" s="284"/>
    </row>
    <row r="682" spans="1:7" ht="13.2">
      <c r="A682" s="418"/>
      <c r="B682" s="418"/>
      <c r="C682" s="303"/>
      <c r="D682" s="2092" t="s">
        <v>957</v>
      </c>
      <c r="E682" s="2092"/>
      <c r="F682" s="2092"/>
      <c r="G682" s="284"/>
    </row>
    <row r="683" spans="1:7" ht="13.2">
      <c r="A683" s="415"/>
      <c r="B683" s="415"/>
      <c r="C683" s="299"/>
      <c r="D683" s="2089" t="s">
        <v>1713</v>
      </c>
      <c r="E683" s="2089"/>
      <c r="F683" s="2089"/>
      <c r="G683" s="288"/>
    </row>
    <row r="684" spans="1:7" ht="14.25" customHeight="1">
      <c r="A684" s="415"/>
      <c r="B684" s="415"/>
      <c r="C684" s="299"/>
      <c r="D684" s="282"/>
      <c r="E684" s="282"/>
      <c r="F684" s="282"/>
      <c r="G684" s="288"/>
    </row>
    <row r="685" spans="1:7" ht="14.4">
      <c r="A685" s="413"/>
      <c r="B685" s="950" t="s">
        <v>1533</v>
      </c>
      <c r="C685" s="299"/>
      <c r="D685" s="2089" t="s">
        <v>1235</v>
      </c>
      <c r="E685" s="2089"/>
      <c r="F685" s="2089"/>
      <c r="G685" s="288"/>
    </row>
    <row r="686" spans="1:7" ht="13.2">
      <c r="A686" s="415"/>
      <c r="B686" s="415"/>
      <c r="C686" s="299"/>
      <c r="D686" s="2089" t="s">
        <v>1256</v>
      </c>
      <c r="E686" s="2089"/>
      <c r="F686" s="2089"/>
      <c r="G686" s="288"/>
    </row>
    <row r="687" spans="1:7" ht="13.2">
      <c r="A687" s="415"/>
      <c r="B687" s="415"/>
      <c r="C687" s="299"/>
      <c r="D687" s="282"/>
      <c r="E687" s="2117" t="s">
        <v>1718</v>
      </c>
      <c r="F687" s="2117"/>
      <c r="G687" s="288"/>
    </row>
    <row r="688" spans="1:7" ht="13.2">
      <c r="A688" s="415"/>
      <c r="B688" s="415"/>
      <c r="C688" s="299"/>
      <c r="D688" s="282"/>
      <c r="E688" s="2117"/>
      <c r="F688" s="2117"/>
      <c r="G688" s="288"/>
    </row>
    <row r="689" spans="1:7" ht="13.2">
      <c r="A689" s="415"/>
      <c r="B689" s="415"/>
      <c r="C689" s="299"/>
      <c r="D689" s="332"/>
      <c r="E689" s="332"/>
      <c r="F689" s="332"/>
      <c r="G689" s="288"/>
    </row>
    <row r="690" spans="1:7" ht="14.4">
      <c r="A690" s="413"/>
      <c r="B690" s="1503" t="s">
        <v>136</v>
      </c>
      <c r="C690" s="299"/>
      <c r="D690" s="2088" t="s">
        <v>1715</v>
      </c>
      <c r="E690" s="2088"/>
      <c r="F690" s="2088"/>
      <c r="G690" s="288"/>
    </row>
    <row r="691" spans="1:7" ht="13.2">
      <c r="A691" s="33"/>
      <c r="B691" s="33"/>
      <c r="C691" s="299"/>
      <c r="D691" s="2088"/>
      <c r="E691" s="2088"/>
      <c r="F691" s="2088"/>
      <c r="G691" s="288"/>
    </row>
    <row r="692" spans="1:7" ht="13.2">
      <c r="A692" s="415"/>
      <c r="B692" s="415"/>
      <c r="C692" s="299"/>
      <c r="D692" s="2088"/>
      <c r="E692" s="2088"/>
      <c r="F692" s="2088"/>
      <c r="G692" s="288"/>
    </row>
    <row r="693" spans="1:7" ht="13.2">
      <c r="A693" s="415"/>
      <c r="B693" s="415"/>
      <c r="C693" s="299"/>
      <c r="D693" s="282"/>
      <c r="E693" s="282"/>
      <c r="F693" s="282"/>
      <c r="G693" s="288"/>
    </row>
    <row r="694" spans="1:7" ht="14.4">
      <c r="A694" s="413"/>
      <c r="B694" s="950" t="s">
        <v>1533</v>
      </c>
      <c r="C694" s="299"/>
      <c r="D694" s="2089" t="s">
        <v>1301</v>
      </c>
      <c r="E694" s="2089"/>
      <c r="F694" s="2089"/>
      <c r="G694" s="288"/>
    </row>
    <row r="695" spans="1:7" ht="14.4">
      <c r="A695" s="413"/>
      <c r="B695" s="413"/>
      <c r="C695" s="299"/>
      <c r="D695" s="2089" t="s">
        <v>1256</v>
      </c>
      <c r="E695" s="2089"/>
      <c r="F695" s="2089"/>
      <c r="G695" s="288"/>
    </row>
    <row r="696" spans="1:7" ht="13.2">
      <c r="A696" s="415"/>
      <c r="B696" s="415"/>
      <c r="C696" s="299"/>
      <c r="D696" s="282"/>
      <c r="E696" s="2127" t="s">
        <v>1716</v>
      </c>
      <c r="F696" s="2127"/>
      <c r="G696" s="288"/>
    </row>
    <row r="697" spans="1:7" ht="13.2">
      <c r="A697" s="415"/>
      <c r="B697" s="415"/>
      <c r="C697" s="299"/>
      <c r="D697" s="6"/>
      <c r="E697" s="282"/>
      <c r="F697" s="282"/>
      <c r="G697" s="288"/>
    </row>
    <row r="698" spans="1:7" ht="14.4">
      <c r="A698" s="413"/>
      <c r="B698" s="950" t="s">
        <v>1533</v>
      </c>
      <c r="C698" s="299"/>
      <c r="D698" s="1869" t="s">
        <v>1717</v>
      </c>
      <c r="E698" s="1869"/>
      <c r="F698" s="1869"/>
      <c r="G698" s="288"/>
    </row>
    <row r="699" spans="1:7" ht="13.2">
      <c r="A699" s="415"/>
      <c r="B699" s="415"/>
      <c r="C699" s="299"/>
      <c r="D699" s="1869"/>
      <c r="E699" s="1869"/>
      <c r="F699" s="1869"/>
      <c r="G699" s="288"/>
    </row>
    <row r="700" spans="1:7" ht="13.2">
      <c r="A700" s="415"/>
      <c r="B700" s="415"/>
      <c r="C700" s="299"/>
      <c r="D700" s="1869"/>
      <c r="E700" s="1869"/>
      <c r="F700" s="1869"/>
      <c r="G700" s="288"/>
    </row>
    <row r="701" spans="1:7" ht="13.2">
      <c r="A701" s="415"/>
      <c r="B701" s="415"/>
      <c r="C701" s="299"/>
      <c r="D701" s="1869"/>
      <c r="E701" s="1869"/>
      <c r="F701" s="1869"/>
      <c r="G701" s="288"/>
    </row>
    <row r="702" spans="1:7" ht="13.2">
      <c r="A702" s="415"/>
      <c r="B702" s="415"/>
      <c r="C702" s="299"/>
      <c r="D702" s="1869"/>
      <c r="E702" s="1869"/>
      <c r="F702" s="1869"/>
      <c r="G702" s="288"/>
    </row>
    <row r="703" spans="1:7" ht="13.2">
      <c r="A703" s="415"/>
      <c r="B703" s="415"/>
      <c r="C703" s="299"/>
      <c r="D703" s="1869"/>
      <c r="E703" s="1869"/>
      <c r="F703" s="1869"/>
      <c r="G703" s="288"/>
    </row>
    <row r="704" spans="1:7" ht="13.2">
      <c r="A704" s="415"/>
      <c r="B704" s="415"/>
      <c r="C704" s="299"/>
      <c r="D704" s="1869"/>
      <c r="E704" s="1869"/>
      <c r="F704" s="1869"/>
      <c r="G704" s="288"/>
    </row>
    <row r="705" spans="1:7" ht="13.2">
      <c r="A705" s="415"/>
      <c r="B705" s="950" t="s">
        <v>1533</v>
      </c>
      <c r="C705" s="299"/>
      <c r="D705" s="1870" t="s">
        <v>1959</v>
      </c>
      <c r="E705" s="1869"/>
      <c r="F705" s="1869"/>
      <c r="G705" s="288"/>
    </row>
    <row r="706" spans="1:7" ht="13.2">
      <c r="A706" s="415"/>
      <c r="B706" s="415"/>
      <c r="C706" s="299"/>
      <c r="D706" s="1869"/>
      <c r="E706" s="1869"/>
      <c r="F706" s="1869"/>
      <c r="G706" s="288"/>
    </row>
    <row r="707" spans="1:7" ht="13.2">
      <c r="A707" s="415"/>
      <c r="B707" s="415"/>
      <c r="C707" s="299"/>
      <c r="D707" s="136"/>
      <c r="E707" s="282"/>
      <c r="F707" s="282"/>
      <c r="G707" s="288"/>
    </row>
    <row r="708" spans="1:7" ht="14.4" customHeight="1">
      <c r="A708" s="413"/>
      <c r="B708" s="1503" t="s">
        <v>136</v>
      </c>
      <c r="C708" s="299"/>
      <c r="D708" s="1869" t="s">
        <v>1719</v>
      </c>
      <c r="E708" s="1869"/>
      <c r="F708" s="1869"/>
      <c r="G708" s="288"/>
    </row>
    <row r="709" spans="1:7" ht="13.2">
      <c r="A709" s="415"/>
      <c r="B709" s="415"/>
      <c r="C709" s="299"/>
      <c r="D709" s="1869"/>
      <c r="E709" s="1869"/>
      <c r="F709" s="1869"/>
      <c r="G709" s="288"/>
    </row>
    <row r="710" spans="1:7" ht="13.2">
      <c r="A710" s="415"/>
      <c r="B710" s="415"/>
      <c r="C710" s="299"/>
      <c r="D710" s="1869"/>
      <c r="E710" s="1869"/>
      <c r="F710" s="1869"/>
      <c r="G710" s="288"/>
    </row>
    <row r="711" spans="1:7" ht="13.2">
      <c r="A711" s="415"/>
      <c r="B711" s="415"/>
      <c r="C711" s="299"/>
      <c r="D711" s="1869"/>
      <c r="E711" s="1869"/>
      <c r="F711" s="1869"/>
      <c r="G711" s="288"/>
    </row>
    <row r="712" spans="1:7" ht="13.2">
      <c r="A712" s="415"/>
      <c r="B712" s="415"/>
      <c r="C712" s="299"/>
      <c r="D712" s="1869"/>
      <c r="E712" s="1869"/>
      <c r="F712" s="1869"/>
      <c r="G712" s="288"/>
    </row>
    <row r="713" spans="1:7" ht="13.2">
      <c r="A713" s="415"/>
      <c r="B713" s="415"/>
      <c r="C713" s="299"/>
      <c r="D713" s="1869"/>
      <c r="E713" s="1869"/>
      <c r="F713" s="1869"/>
      <c r="G713" s="288"/>
    </row>
    <row r="714" spans="1:7" ht="13.2">
      <c r="A714" s="415"/>
      <c r="B714" s="415"/>
      <c r="C714" s="299"/>
      <c r="D714" s="1869"/>
      <c r="E714" s="1869"/>
      <c r="F714" s="1869"/>
      <c r="G714" s="288"/>
    </row>
    <row r="715" spans="1:7" ht="13.2">
      <c r="A715" s="415"/>
      <c r="B715" s="415"/>
      <c r="C715" s="299"/>
      <c r="D715" s="1869"/>
      <c r="E715" s="1869"/>
      <c r="F715" s="1869"/>
      <c r="G715" s="288"/>
    </row>
    <row r="716" spans="1:7" ht="13.2">
      <c r="A716" s="415"/>
      <c r="B716" s="415"/>
      <c r="C716" s="299"/>
      <c r="D716" s="1869"/>
      <c r="E716" s="1869"/>
      <c r="F716" s="1869"/>
      <c r="G716" s="288"/>
    </row>
    <row r="717" spans="1:7" ht="13.2">
      <c r="A717" s="415"/>
      <c r="B717" s="415"/>
      <c r="C717" s="299"/>
      <c r="D717" s="1869"/>
      <c r="E717" s="1869"/>
      <c r="F717" s="1869"/>
      <c r="G717" s="288"/>
    </row>
    <row r="718" spans="1:7" ht="13.2">
      <c r="A718" s="415"/>
      <c r="B718" s="415"/>
      <c r="C718" s="299"/>
      <c r="D718" s="1869"/>
      <c r="E718" s="1869"/>
      <c r="F718" s="1869"/>
      <c r="G718" s="288"/>
    </row>
    <row r="719" spans="1:7" ht="13.2">
      <c r="A719" s="415"/>
      <c r="B719" s="415"/>
      <c r="C719" s="299"/>
      <c r="D719" s="1869"/>
      <c r="E719" s="1869"/>
      <c r="F719" s="1869"/>
      <c r="G719" s="288"/>
    </row>
    <row r="720" spans="1:7" ht="13.2">
      <c r="A720" s="415"/>
      <c r="B720" s="415"/>
      <c r="C720" s="299"/>
      <c r="D720" s="1869"/>
      <c r="E720" s="1869"/>
      <c r="F720" s="1869"/>
      <c r="G720" s="288"/>
    </row>
    <row r="721" spans="1:9" s="50" customFormat="1" ht="13.2">
      <c r="A721" s="415"/>
      <c r="B721" s="1503" t="s">
        <v>136</v>
      </c>
      <c r="C721" s="415"/>
      <c r="D721" s="1869" t="s">
        <v>1723</v>
      </c>
      <c r="E721" s="1869"/>
      <c r="F721" s="1869"/>
      <c r="G721" s="71"/>
      <c r="H721" s="886"/>
      <c r="I721" s="1084"/>
    </row>
    <row r="722" spans="1:9" s="50" customFormat="1" ht="13.2">
      <c r="A722" s="415"/>
      <c r="B722" s="415"/>
      <c r="C722" s="415"/>
      <c r="D722" s="1869"/>
      <c r="E722" s="1869"/>
      <c r="F722" s="1869"/>
      <c r="G722" s="71"/>
      <c r="H722" s="886"/>
      <c r="I722" s="1084"/>
    </row>
    <row r="723" spans="1:9" s="50" customFormat="1" ht="13.2">
      <c r="A723" s="415"/>
      <c r="B723" s="415"/>
      <c r="C723" s="415"/>
      <c r="D723" s="978"/>
      <c r="E723" s="978"/>
      <c r="F723" s="978"/>
      <c r="G723" s="71"/>
      <c r="H723" s="886"/>
      <c r="I723" s="1084"/>
    </row>
    <row r="724" spans="1:9" s="50" customFormat="1" ht="13.2">
      <c r="A724" s="415"/>
      <c r="B724" s="1503" t="s">
        <v>136</v>
      </c>
      <c r="C724" s="415"/>
      <c r="D724" s="1869" t="s">
        <v>1724</v>
      </c>
      <c r="E724" s="1869"/>
      <c r="F724" s="1869"/>
      <c r="G724" s="71"/>
      <c r="H724" s="886"/>
      <c r="I724" s="1084"/>
    </row>
    <row r="725" spans="1:9" s="50" customFormat="1" ht="13.2">
      <c r="A725" s="415"/>
      <c r="B725" s="415"/>
      <c r="C725" s="415"/>
      <c r="D725" s="1869"/>
      <c r="E725" s="1869"/>
      <c r="F725" s="1869"/>
      <c r="G725" s="71"/>
      <c r="H725" s="886"/>
      <c r="I725" s="1084"/>
    </row>
    <row r="726" spans="1:9" s="50" customFormat="1" ht="13.2">
      <c r="A726" s="415"/>
      <c r="B726" s="415"/>
      <c r="C726" s="415"/>
      <c r="D726" s="1869"/>
      <c r="E726" s="1869"/>
      <c r="F726" s="1869"/>
      <c r="G726" s="71"/>
      <c r="H726" s="886"/>
      <c r="I726" s="1084"/>
    </row>
    <row r="727" spans="1:9" s="50" customFormat="1" ht="13.2">
      <c r="A727" s="415"/>
      <c r="B727" s="415"/>
      <c r="C727" s="415"/>
      <c r="D727" s="978"/>
      <c r="E727" s="978"/>
      <c r="F727" s="978"/>
      <c r="G727" s="71"/>
      <c r="H727" s="886"/>
      <c r="I727" s="1084"/>
    </row>
    <row r="728" spans="1:9" ht="14.4" customHeight="1">
      <c r="A728" s="413"/>
      <c r="B728" s="1503" t="s">
        <v>136</v>
      </c>
      <c r="C728" s="299"/>
      <c r="D728" s="1870" t="s">
        <v>2201</v>
      </c>
      <c r="E728" s="1869"/>
      <c r="F728" s="1869"/>
      <c r="G728" s="288"/>
    </row>
    <row r="729" spans="1:9" ht="13.2">
      <c r="A729" s="415"/>
      <c r="B729" s="415"/>
      <c r="C729" s="299"/>
      <c r="D729" s="1869"/>
      <c r="E729" s="1869"/>
      <c r="F729" s="1869"/>
      <c r="G729" s="288"/>
    </row>
    <row r="730" spans="1:9" ht="13.2">
      <c r="A730" s="415"/>
      <c r="B730" s="415"/>
      <c r="C730" s="299"/>
      <c r="D730" s="1869"/>
      <c r="E730" s="1869"/>
      <c r="F730" s="1869"/>
      <c r="G730" s="288"/>
    </row>
    <row r="731" spans="1:9" ht="13.2">
      <c r="A731" s="415"/>
      <c r="B731" s="415"/>
      <c r="C731" s="299"/>
      <c r="D731" s="136"/>
      <c r="E731" s="282"/>
      <c r="F731" s="282"/>
      <c r="G731" s="288"/>
    </row>
    <row r="732" spans="1:9" ht="14.4" customHeight="1">
      <c r="A732" s="413"/>
      <c r="B732" s="1503" t="s">
        <v>136</v>
      </c>
      <c r="C732" s="299"/>
      <c r="D732" s="1869" t="s">
        <v>1720</v>
      </c>
      <c r="E732" s="1869"/>
      <c r="F732" s="1869"/>
      <c r="G732" s="288"/>
    </row>
    <row r="733" spans="1:9" ht="13.2">
      <c r="A733" s="415"/>
      <c r="B733" s="415"/>
      <c r="C733" s="299"/>
      <c r="D733" s="1869"/>
      <c r="E733" s="1869"/>
      <c r="F733" s="1869"/>
      <c r="G733" s="288"/>
    </row>
    <row r="734" spans="1:9" ht="13.2">
      <c r="A734" s="415"/>
      <c r="B734" s="415"/>
      <c r="C734" s="299"/>
      <c r="D734" s="1869"/>
      <c r="E734" s="1869"/>
      <c r="F734" s="1869"/>
      <c r="G734" s="288"/>
    </row>
    <row r="735" spans="1:9" ht="13.2">
      <c r="A735" s="415"/>
      <c r="B735" s="415"/>
      <c r="C735" s="299"/>
      <c r="D735" s="332"/>
      <c r="E735" s="282"/>
      <c r="F735" s="282"/>
      <c r="G735" s="288"/>
      <c r="H735" s="404"/>
      <c r="I735" s="404"/>
    </row>
    <row r="736" spans="1:9" ht="14.4">
      <c r="A736" s="413"/>
      <c r="B736" s="1503" t="s">
        <v>136</v>
      </c>
      <c r="C736" s="299"/>
      <c r="D736" s="2088" t="s">
        <v>1722</v>
      </c>
      <c r="E736" s="2088"/>
      <c r="F736" s="2088"/>
      <c r="G736" s="288"/>
    </row>
    <row r="737" spans="1:9" ht="13.2">
      <c r="A737" s="415"/>
      <c r="B737" s="415"/>
      <c r="C737" s="299"/>
      <c r="D737" s="2088"/>
      <c r="E737" s="2088"/>
      <c r="F737" s="2088"/>
      <c r="G737" s="288"/>
    </row>
    <row r="738" spans="1:9" ht="13.2">
      <c r="A738" s="415"/>
      <c r="B738" s="415"/>
      <c r="C738" s="299"/>
      <c r="D738" s="2088"/>
      <c r="E738" s="2088"/>
      <c r="F738" s="2088"/>
      <c r="G738" s="288"/>
    </row>
    <row r="739" spans="1:9" ht="13.2">
      <c r="A739" s="415"/>
      <c r="B739" s="415"/>
      <c r="C739" s="299"/>
      <c r="D739" s="2088"/>
      <c r="E739" s="2088"/>
      <c r="F739" s="2088"/>
      <c r="G739" s="288"/>
    </row>
    <row r="740" spans="1:9" ht="13.2">
      <c r="A740" s="415"/>
      <c r="B740" s="415"/>
      <c r="C740" s="299"/>
      <c r="D740" s="959"/>
      <c r="E740" s="959"/>
      <c r="F740" s="959"/>
      <c r="G740" s="288"/>
    </row>
    <row r="741" spans="1:9" s="50" customFormat="1" ht="14.4">
      <c r="A741" s="413"/>
      <c r="B741" s="1503" t="s">
        <v>136</v>
      </c>
      <c r="C741" s="415"/>
      <c r="D741" s="1869" t="s">
        <v>1896</v>
      </c>
      <c r="E741" s="1869"/>
      <c r="F741" s="1869"/>
      <c r="G741" s="71"/>
      <c r="H741" s="886"/>
      <c r="I741" s="1084"/>
    </row>
    <row r="742" spans="1:9" s="50" customFormat="1" ht="13.2">
      <c r="A742" s="415"/>
      <c r="B742" s="415"/>
      <c r="C742" s="415"/>
      <c r="D742" s="1869"/>
      <c r="E742" s="1869"/>
      <c r="F742" s="1869"/>
      <c r="G742" s="71"/>
      <c r="H742" s="886"/>
      <c r="I742" s="1084"/>
    </row>
    <row r="743" spans="1:9" s="50" customFormat="1" ht="13.2">
      <c r="A743" s="415"/>
      <c r="B743" s="415"/>
      <c r="C743" s="415"/>
      <c r="D743" s="1869"/>
      <c r="E743" s="1869"/>
      <c r="F743" s="1869"/>
      <c r="G743" s="71"/>
      <c r="H743" s="886"/>
      <c r="I743" s="1084"/>
    </row>
    <row r="744" spans="1:9" s="50" customFormat="1" ht="13.2">
      <c r="A744" s="415"/>
      <c r="B744" s="415"/>
      <c r="C744" s="415"/>
      <c r="D744" s="1869"/>
      <c r="E744" s="1869"/>
      <c r="F744" s="1869"/>
      <c r="G744" s="71"/>
      <c r="H744" s="886"/>
      <c r="I744" s="1084"/>
    </row>
    <row r="745" spans="1:9" s="50" customFormat="1" ht="13.2">
      <c r="A745" s="415"/>
      <c r="B745" s="415"/>
      <c r="C745" s="415"/>
      <c r="D745" s="1869"/>
      <c r="E745" s="1869"/>
      <c r="F745" s="1869"/>
      <c r="G745" s="71"/>
      <c r="H745" s="886"/>
      <c r="I745" s="1084"/>
    </row>
    <row r="746" spans="1:9" s="50" customFormat="1" ht="13.2">
      <c r="A746" s="415"/>
      <c r="B746" s="415"/>
      <c r="C746" s="415"/>
      <c r="D746" s="1869"/>
      <c r="E746" s="1869"/>
      <c r="F746" s="1869"/>
      <c r="G746" s="71"/>
      <c r="H746" s="886"/>
      <c r="I746" s="1084"/>
    </row>
    <row r="747" spans="1:9" s="50" customFormat="1" ht="13.2">
      <c r="A747" s="415"/>
      <c r="B747" s="415"/>
      <c r="C747" s="415"/>
      <c r="D747" s="1869"/>
      <c r="E747" s="1869"/>
      <c r="F747" s="1869"/>
      <c r="G747" s="71"/>
      <c r="H747" s="886"/>
      <c r="I747" s="1084"/>
    </row>
    <row r="748" spans="1:9" s="50" customFormat="1" ht="13.2">
      <c r="A748" s="415"/>
      <c r="B748" s="415"/>
      <c r="C748" s="415"/>
      <c r="D748" s="2126" t="s">
        <v>1721</v>
      </c>
      <c r="E748" s="2126"/>
      <c r="F748" s="2126"/>
      <c r="G748" s="71"/>
      <c r="H748" s="886"/>
      <c r="I748" s="1084"/>
    </row>
    <row r="749" spans="1:9" s="50" customFormat="1" ht="13.2">
      <c r="A749" s="415"/>
      <c r="B749" s="415"/>
      <c r="C749" s="415"/>
      <c r="D749" s="891"/>
      <c r="E749" s="8"/>
      <c r="F749" s="8"/>
      <c r="G749" s="71"/>
      <c r="H749" s="886"/>
      <c r="I749" s="1084"/>
    </row>
    <row r="750" spans="1:9" ht="13.2">
      <c r="A750" s="2109" t="s">
        <v>1591</v>
      </c>
      <c r="B750" s="2109"/>
      <c r="C750" s="2109"/>
      <c r="D750" s="2109"/>
      <c r="E750" s="2109"/>
      <c r="F750" s="2109"/>
      <c r="G750" s="2109"/>
      <c r="H750" s="404"/>
      <c r="I750" s="404"/>
    </row>
    <row r="751" spans="1:9" ht="13.2">
      <c r="A751" s="415"/>
      <c r="B751" s="415"/>
      <c r="C751" s="299"/>
      <c r="D751" s="332"/>
      <c r="E751" s="282"/>
      <c r="F751" s="282"/>
      <c r="G751" s="288"/>
      <c r="H751" s="404"/>
      <c r="I751" s="404"/>
    </row>
    <row r="752" spans="1:9" ht="13.2">
      <c r="A752" s="140"/>
      <c r="B752" s="140"/>
      <c r="C752" s="299"/>
      <c r="D752" s="2116" t="s">
        <v>1622</v>
      </c>
      <c r="E752" s="2116"/>
      <c r="F752" s="2116"/>
      <c r="G752" s="288"/>
      <c r="H752" s="404"/>
      <c r="I752" s="404"/>
    </row>
    <row r="753" spans="1:9" ht="13.2">
      <c r="A753" s="414"/>
      <c r="B753" s="414"/>
      <c r="C753" s="298"/>
      <c r="D753" s="2107" t="s">
        <v>1625</v>
      </c>
      <c r="E753" s="2107"/>
      <c r="F753" s="2107"/>
      <c r="G753" s="288"/>
      <c r="H753" s="404"/>
      <c r="I753" s="404"/>
    </row>
    <row r="754" spans="1:9" ht="13.2">
      <c r="A754" s="415"/>
      <c r="B754" s="415"/>
      <c r="C754" s="299"/>
      <c r="D754" s="282"/>
      <c r="E754" s="282"/>
      <c r="F754" s="282"/>
      <c r="G754" s="288"/>
      <c r="H754" s="404"/>
      <c r="I754" s="404"/>
    </row>
    <row r="755" spans="1:9" ht="14.25" customHeight="1">
      <c r="A755" s="413"/>
      <c r="B755" s="950" t="s">
        <v>1533</v>
      </c>
      <c r="C755" s="14"/>
      <c r="D755" s="2088" t="s">
        <v>1623</v>
      </c>
      <c r="E755" s="2088"/>
      <c r="F755" s="2088"/>
      <c r="G755" s="288"/>
      <c r="H755" s="404"/>
      <c r="I755" s="404"/>
    </row>
    <row r="756" spans="1:9" ht="11.25" customHeight="1">
      <c r="A756" s="140"/>
      <c r="B756" s="140"/>
      <c r="C756" s="14"/>
      <c r="D756" s="2088"/>
      <c r="E756" s="2088"/>
      <c r="F756" s="2088"/>
      <c r="G756" s="288"/>
      <c r="H756" s="404"/>
      <c r="I756" s="404"/>
    </row>
    <row r="757" spans="1:9" ht="13.2">
      <c r="A757" s="140"/>
      <c r="B757" s="140"/>
      <c r="C757" s="14"/>
      <c r="D757" s="2088"/>
      <c r="E757" s="2088"/>
      <c r="F757" s="2088"/>
      <c r="G757" s="288"/>
      <c r="H757" s="404"/>
      <c r="I757" s="404"/>
    </row>
    <row r="758" spans="1:9" ht="13.2">
      <c r="A758" s="140"/>
      <c r="B758" s="140"/>
      <c r="C758" s="14"/>
      <c r="D758" s="2088"/>
      <c r="E758" s="2088"/>
      <c r="F758" s="2088"/>
      <c r="G758" s="288"/>
      <c r="H758" s="404"/>
      <c r="I758" s="404"/>
    </row>
    <row r="759" spans="1:9" ht="13.2">
      <c r="A759" s="150"/>
      <c r="B759" s="150"/>
      <c r="D759" s="2088"/>
      <c r="E759" s="2088"/>
      <c r="F759" s="2088"/>
      <c r="G759" s="288"/>
      <c r="H759" s="404"/>
      <c r="I759" s="404"/>
    </row>
    <row r="760" spans="1:9" ht="17.25" customHeight="1">
      <c r="A760" s="150"/>
      <c r="B760" s="150"/>
      <c r="D760" s="2088"/>
      <c r="E760" s="2088"/>
      <c r="F760" s="2088"/>
      <c r="G760" s="288"/>
      <c r="H760" s="404"/>
      <c r="I760" s="404"/>
    </row>
    <row r="761" spans="1:9" ht="13.2">
      <c r="A761" s="150"/>
      <c r="B761" s="150"/>
      <c r="D761" s="403"/>
      <c r="E761" s="403"/>
      <c r="F761" s="403"/>
      <c r="G761" s="288"/>
      <c r="H761" s="404"/>
      <c r="I761" s="404"/>
    </row>
    <row r="762" spans="1:9" ht="12.75" customHeight="1">
      <c r="A762" s="140"/>
      <c r="B762" s="950" t="s">
        <v>1533</v>
      </c>
      <c r="C762" s="14"/>
      <c r="D762" s="2121" t="s">
        <v>2128</v>
      </c>
      <c r="E762" s="2121"/>
      <c r="F762" s="2121"/>
      <c r="G762" s="288"/>
      <c r="H762" s="404"/>
      <c r="I762" s="404"/>
    </row>
    <row r="763" spans="1:9" ht="13.2">
      <c r="A763" s="140"/>
      <c r="B763" s="140"/>
      <c r="C763" s="14"/>
      <c r="D763" s="2121"/>
      <c r="E763" s="2121"/>
      <c r="F763" s="2121"/>
      <c r="G763" s="288"/>
      <c r="H763" s="404"/>
      <c r="I763" s="404"/>
    </row>
    <row r="764" spans="1:9" ht="13.2">
      <c r="A764" s="140"/>
      <c r="B764" s="140"/>
      <c r="C764" s="14"/>
      <c r="D764" s="2121"/>
      <c r="E764" s="2121"/>
      <c r="F764" s="2121"/>
      <c r="G764" s="288"/>
      <c r="H764" s="404"/>
      <c r="I764" s="404"/>
    </row>
    <row r="765" spans="1:9" ht="13.2">
      <c r="A765" s="140"/>
      <c r="B765" s="140"/>
      <c r="C765" s="14"/>
      <c r="D765" s="2121"/>
      <c r="E765" s="2121"/>
      <c r="F765" s="2121"/>
      <c r="G765" s="288"/>
      <c r="H765" s="404"/>
      <c r="I765" s="404"/>
    </row>
    <row r="766" spans="1:9" ht="13.2">
      <c r="A766" s="140"/>
      <c r="B766" s="140"/>
      <c r="C766" s="14"/>
      <c r="D766" s="403"/>
      <c r="G766" s="288"/>
      <c r="H766" s="404"/>
      <c r="I766" s="404"/>
    </row>
    <row r="767" spans="1:9" ht="13.2">
      <c r="A767" s="140"/>
      <c r="B767" s="950" t="s">
        <v>136</v>
      </c>
      <c r="C767" s="689"/>
      <c r="D767" s="2159" t="s">
        <v>2129</v>
      </c>
      <c r="E767" s="2090"/>
      <c r="F767" s="2090"/>
      <c r="G767" s="711"/>
      <c r="H767" s="404"/>
      <c r="I767" s="404"/>
    </row>
    <row r="768" spans="1:9" ht="13.2">
      <c r="A768" s="689"/>
      <c r="B768" s="689"/>
      <c r="C768" s="689"/>
      <c r="D768" s="2090"/>
      <c r="E768" s="2090"/>
      <c r="F768" s="2090"/>
      <c r="G768" s="711"/>
      <c r="H768" s="404"/>
      <c r="I768" s="404"/>
    </row>
    <row r="769" spans="1:9" ht="13.2">
      <c r="A769" s="689"/>
      <c r="B769" s="689"/>
      <c r="C769" s="689"/>
      <c r="D769" s="2090"/>
      <c r="E769" s="2090"/>
      <c r="F769" s="2090"/>
      <c r="G769" s="711"/>
      <c r="H769" s="404"/>
      <c r="I769" s="404"/>
    </row>
    <row r="770" spans="1:9" ht="13.2">
      <c r="A770" s="150"/>
      <c r="B770" s="150"/>
      <c r="D770" s="403"/>
      <c r="E770" s="403"/>
      <c r="F770" s="403"/>
      <c r="G770" s="288"/>
      <c r="H770" s="404"/>
      <c r="I770" s="404"/>
    </row>
    <row r="771" spans="1:9" ht="13.2">
      <c r="A771" s="150"/>
      <c r="B771" s="1503" t="s">
        <v>136</v>
      </c>
      <c r="D771" s="2093" t="s">
        <v>1624</v>
      </c>
      <c r="E771" s="2093"/>
      <c r="F771" s="2093"/>
      <c r="G771" s="288"/>
      <c r="H771" s="404"/>
      <c r="I771" s="404"/>
    </row>
    <row r="772" spans="1:9" ht="13.2">
      <c r="A772" s="150"/>
      <c r="B772" s="150"/>
      <c r="D772" s="2093"/>
      <c r="E772" s="2093"/>
      <c r="F772" s="2093"/>
      <c r="G772" s="288"/>
      <c r="H772" s="404"/>
      <c r="I772" s="404"/>
    </row>
    <row r="773" spans="1:9" ht="13.2">
      <c r="A773" s="150"/>
      <c r="B773" s="150"/>
      <c r="D773" s="957"/>
      <c r="E773" s="957"/>
      <c r="F773" s="957"/>
      <c r="G773" s="288"/>
      <c r="H773" s="404"/>
      <c r="I773" s="404"/>
    </row>
    <row r="774" spans="1:9" ht="13.65" customHeight="1">
      <c r="A774" s="150"/>
      <c r="B774" s="1503" t="s">
        <v>136</v>
      </c>
      <c r="D774" s="2096" t="s">
        <v>1985</v>
      </c>
      <c r="E774" s="2093"/>
      <c r="F774" s="2093"/>
      <c r="G774" s="288"/>
      <c r="H774" s="404"/>
      <c r="I774" s="404"/>
    </row>
    <row r="775" spans="1:9" ht="13.2">
      <c r="A775" s="150"/>
      <c r="B775" s="150"/>
      <c r="D775" s="2093"/>
      <c r="E775" s="2093"/>
      <c r="F775" s="2093"/>
      <c r="G775" s="288"/>
      <c r="H775" s="404"/>
      <c r="I775" s="404"/>
    </row>
    <row r="776" spans="1:9" ht="13.2">
      <c r="A776" s="150"/>
      <c r="B776" s="150"/>
      <c r="D776" s="2093"/>
      <c r="E776" s="2093"/>
      <c r="F776" s="2093"/>
      <c r="G776" s="288"/>
      <c r="H776" s="404"/>
      <c r="I776" s="404"/>
    </row>
    <row r="777" spans="1:9" ht="13.2">
      <c r="A777" s="150"/>
      <c r="B777" s="150"/>
      <c r="D777" s="957"/>
      <c r="E777" s="957"/>
      <c r="F777" s="957"/>
      <c r="G777" s="288"/>
      <c r="H777" s="404"/>
      <c r="I777" s="404"/>
    </row>
    <row r="778" spans="1:9" ht="12" customHeight="1">
      <c r="A778" s="2109" t="s">
        <v>1798</v>
      </c>
      <c r="B778" s="2109"/>
      <c r="C778" s="2109"/>
      <c r="D778" s="2109"/>
      <c r="E778" s="2109"/>
      <c r="F778" s="2109"/>
      <c r="G778" s="2109"/>
      <c r="H778" s="404"/>
      <c r="I778" s="404"/>
    </row>
    <row r="779" spans="1:9" ht="13.2">
      <c r="A779" s="107"/>
      <c r="B779" s="107"/>
      <c r="C779" s="302"/>
      <c r="D779" s="283"/>
      <c r="E779" s="283"/>
      <c r="F779" s="283"/>
      <c r="G779" s="288"/>
      <c r="H779" s="404"/>
      <c r="I779" s="404"/>
    </row>
    <row r="780" spans="1:9" ht="13.65" customHeight="1">
      <c r="A780" s="107"/>
      <c r="B780" s="107"/>
      <c r="C780" s="302"/>
      <c r="D780" s="2114" t="s">
        <v>1799</v>
      </c>
      <c r="E780" s="2114"/>
      <c r="F780" s="2114"/>
      <c r="G780" s="288"/>
      <c r="H780" s="404"/>
      <c r="I780" s="404"/>
    </row>
    <row r="781" spans="1:9" ht="13.2">
      <c r="A781" s="107"/>
      <c r="B781" s="107"/>
      <c r="C781" s="302"/>
      <c r="D781" s="2115" t="s">
        <v>1800</v>
      </c>
      <c r="E781" s="2115"/>
      <c r="F781" s="2115"/>
      <c r="G781" s="288"/>
      <c r="H781" s="404"/>
      <c r="I781" s="404"/>
    </row>
    <row r="782" spans="1:9" ht="13.2">
      <c r="A782" s="107"/>
      <c r="B782" s="107"/>
      <c r="C782" s="302"/>
      <c r="D782" s="995"/>
      <c r="E782" s="995"/>
      <c r="F782" s="995"/>
      <c r="G782" s="288"/>
      <c r="H782" s="404"/>
      <c r="I782" s="404"/>
    </row>
    <row r="783" spans="1:9" ht="13.2">
      <c r="A783" s="107"/>
      <c r="B783" s="950" t="s">
        <v>1533</v>
      </c>
      <c r="C783" s="302"/>
      <c r="D783" s="2124" t="s">
        <v>1801</v>
      </c>
      <c r="E783" s="2124"/>
      <c r="F783" s="2124"/>
      <c r="G783" s="288"/>
      <c r="H783" s="404"/>
      <c r="I783" s="404"/>
    </row>
    <row r="784" spans="1:9" ht="13.2">
      <c r="A784" s="107"/>
      <c r="B784" s="107"/>
      <c r="C784" s="302"/>
      <c r="D784" s="2124"/>
      <c r="E784" s="2124"/>
      <c r="F784" s="2124"/>
      <c r="G784" s="288"/>
      <c r="H784" s="404"/>
      <c r="I784" s="404"/>
    </row>
    <row r="785" spans="1:9" ht="13.2">
      <c r="A785" s="415"/>
      <c r="B785" s="415"/>
      <c r="C785" s="299"/>
      <c r="D785" s="2124"/>
      <c r="E785" s="2124"/>
      <c r="F785" s="2124"/>
      <c r="G785" s="284"/>
      <c r="H785" s="404"/>
      <c r="I785" s="404"/>
    </row>
    <row r="786" spans="1:9" ht="13.2">
      <c r="A786" s="150"/>
      <c r="B786" s="150"/>
      <c r="C786" s="285"/>
      <c r="D786" s="411"/>
      <c r="E786" s="288"/>
      <c r="F786" s="288"/>
      <c r="G786" s="288"/>
      <c r="H786" s="404"/>
      <c r="I786" s="404"/>
    </row>
    <row r="787" spans="1:9" ht="13.2">
      <c r="A787" s="418"/>
      <c r="B787" s="1503" t="s">
        <v>136</v>
      </c>
      <c r="C787" s="303"/>
      <c r="D787" s="2124" t="s">
        <v>1802</v>
      </c>
      <c r="E787" s="2124"/>
      <c r="F787" s="2124"/>
      <c r="G787" s="288"/>
      <c r="H787" s="404"/>
      <c r="I787" s="404"/>
    </row>
    <row r="788" spans="1:9" ht="13.2">
      <c r="A788" s="741"/>
      <c r="B788" s="741"/>
      <c r="C788" s="742"/>
      <c r="D788" s="2124"/>
      <c r="E788" s="2124"/>
      <c r="F788" s="2124"/>
      <c r="G788" s="288"/>
      <c r="H788" s="404"/>
      <c r="I788" s="404"/>
    </row>
    <row r="789" spans="1:9" ht="13.2">
      <c r="A789" s="418"/>
      <c r="B789" s="418"/>
      <c r="C789" s="303"/>
      <c r="D789" s="2124"/>
      <c r="E789" s="2124"/>
      <c r="F789" s="2124"/>
      <c r="G789" s="288"/>
      <c r="H789" s="404"/>
      <c r="I789" s="404"/>
    </row>
    <row r="790" spans="1:9" ht="13.2">
      <c r="A790" s="415"/>
      <c r="B790" s="415"/>
      <c r="C790" s="299"/>
      <c r="D790" s="282"/>
      <c r="E790" s="296"/>
      <c r="F790" s="296"/>
      <c r="G790" s="572"/>
      <c r="H790" s="404"/>
      <c r="I790" s="404"/>
    </row>
    <row r="791" spans="1:9" ht="14.4" customHeight="1">
      <c r="A791" s="413"/>
      <c r="B791" s="1503" t="s">
        <v>136</v>
      </c>
      <c r="C791" s="322"/>
      <c r="D791" s="2087" t="s">
        <v>1917</v>
      </c>
      <c r="E791" s="2087"/>
      <c r="F791" s="2087"/>
      <c r="G791" s="572"/>
      <c r="H791" s="404"/>
      <c r="I791" s="404"/>
    </row>
    <row r="792" spans="1:9" ht="14.4">
      <c r="A792" s="413"/>
      <c r="B792" s="413"/>
      <c r="C792" s="322"/>
      <c r="D792" s="2087"/>
      <c r="E792" s="2087"/>
      <c r="F792" s="2087"/>
      <c r="G792" s="572"/>
      <c r="H792" s="404"/>
      <c r="I792" s="404"/>
    </row>
    <row r="793" spans="1:9" ht="14.4">
      <c r="A793" s="413"/>
      <c r="B793" s="413"/>
      <c r="C793" s="322"/>
      <c r="D793" s="2087"/>
      <c r="E793" s="2087"/>
      <c r="F793" s="2087"/>
      <c r="G793" s="572"/>
      <c r="H793" s="404"/>
      <c r="I793" s="404"/>
    </row>
    <row r="794" spans="1:9" ht="14.4">
      <c r="A794" s="413"/>
      <c r="B794" s="413"/>
      <c r="C794" s="322"/>
      <c r="D794" s="1053"/>
      <c r="E794" s="282"/>
      <c r="F794" s="282"/>
      <c r="G794" s="572"/>
      <c r="H794" s="404"/>
      <c r="I794" s="404"/>
    </row>
    <row r="795" spans="1:9" ht="14.25" customHeight="1">
      <c r="A795" s="413"/>
      <c r="B795" s="1503" t="s">
        <v>136</v>
      </c>
      <c r="C795" s="322"/>
      <c r="D795" s="2124" t="s">
        <v>1803</v>
      </c>
      <c r="E795" s="2124"/>
      <c r="F795" s="2124"/>
      <c r="G795" s="572"/>
      <c r="H795" s="404"/>
      <c r="I795" s="404"/>
    </row>
    <row r="796" spans="1:9" ht="14.4">
      <c r="A796" s="413"/>
      <c r="B796" s="413"/>
      <c r="C796" s="322"/>
      <c r="D796" s="2124"/>
      <c r="E796" s="2124"/>
      <c r="F796" s="2124"/>
      <c r="G796" s="572"/>
      <c r="H796" s="404"/>
      <c r="I796" s="404"/>
    </row>
    <row r="797" spans="1:9" ht="14.4">
      <c r="A797" s="413"/>
      <c r="B797" s="413"/>
      <c r="C797" s="322"/>
      <c r="D797" s="2124"/>
      <c r="E797" s="2124"/>
      <c r="F797" s="2124"/>
      <c r="G797" s="572"/>
      <c r="H797" s="404"/>
      <c r="I797" s="404"/>
    </row>
    <row r="798" spans="1:9" ht="14.4">
      <c r="A798" s="413"/>
      <c r="B798" s="413"/>
      <c r="C798" s="322"/>
      <c r="D798" s="2124"/>
      <c r="E798" s="2124"/>
      <c r="F798" s="2124"/>
      <c r="G798" s="572"/>
      <c r="H798" s="404"/>
      <c r="I798" s="404"/>
    </row>
    <row r="799" spans="1:9" ht="14.4">
      <c r="A799" s="413"/>
      <c r="B799" s="413"/>
      <c r="C799" s="322"/>
      <c r="D799" s="2124"/>
      <c r="E799" s="2124"/>
      <c r="F799" s="2124"/>
      <c r="G799" s="572"/>
      <c r="H799" s="404"/>
      <c r="I799" s="404"/>
    </row>
    <row r="800" spans="1:9" ht="14.4">
      <c r="A800" s="413"/>
      <c r="B800" s="413"/>
      <c r="C800" s="322"/>
      <c r="D800" s="2087" t="s">
        <v>2316</v>
      </c>
      <c r="E800" s="2087"/>
      <c r="F800" s="2087"/>
      <c r="G800" s="572"/>
      <c r="H800" s="404"/>
      <c r="I800" s="404"/>
    </row>
    <row r="801" spans="1:9" ht="14.4">
      <c r="A801" s="413"/>
      <c r="B801" s="413"/>
      <c r="C801" s="322"/>
      <c r="D801" s="2087"/>
      <c r="E801" s="2087"/>
      <c r="F801" s="2087"/>
      <c r="G801" s="572"/>
      <c r="H801" s="404"/>
      <c r="I801" s="404"/>
    </row>
    <row r="802" spans="1:9" ht="14.4">
      <c r="A802" s="413"/>
      <c r="B802" s="413"/>
      <c r="C802" s="322"/>
      <c r="D802" s="2087"/>
      <c r="E802" s="2087"/>
      <c r="F802" s="2087"/>
      <c r="G802" s="572"/>
      <c r="H802" s="404"/>
      <c r="I802" s="404"/>
    </row>
    <row r="803" spans="1:9" ht="14.4">
      <c r="A803" s="413"/>
      <c r="B803" s="14"/>
      <c r="C803" s="322"/>
      <c r="D803" s="1344"/>
      <c r="E803" s="1344"/>
      <c r="F803" s="1344"/>
      <c r="G803" s="572"/>
      <c r="H803" s="404"/>
      <c r="I803" s="404"/>
    </row>
    <row r="804" spans="1:9" ht="14.4">
      <c r="A804" s="413"/>
      <c r="B804" s="1503" t="s">
        <v>136</v>
      </c>
      <c r="C804" s="322"/>
      <c r="D804" s="2124" t="s">
        <v>1805</v>
      </c>
      <c r="E804" s="2124"/>
      <c r="F804" s="2124"/>
      <c r="G804" s="572"/>
      <c r="H804" s="404"/>
      <c r="I804" s="404"/>
    </row>
    <row r="805" spans="1:9" ht="14.4">
      <c r="A805" s="413"/>
      <c r="B805" s="413"/>
      <c r="C805" s="322"/>
      <c r="D805" s="2124"/>
      <c r="E805" s="2124"/>
      <c r="F805" s="2124"/>
      <c r="G805" s="572"/>
      <c r="H805" s="404"/>
      <c r="I805" s="404"/>
    </row>
    <row r="806" spans="1:9" ht="14.4">
      <c r="A806" s="413"/>
      <c r="B806" s="413"/>
      <c r="C806" s="322"/>
      <c r="D806" s="2124"/>
      <c r="E806" s="2124"/>
      <c r="F806" s="2124"/>
      <c r="G806" s="572"/>
      <c r="H806" s="404"/>
      <c r="I806" s="404"/>
    </row>
    <row r="807" spans="1:9" ht="14.4">
      <c r="A807" s="413"/>
      <c r="B807" s="413"/>
      <c r="C807" s="322"/>
      <c r="D807" s="2124"/>
      <c r="E807" s="2124"/>
      <c r="F807" s="2124"/>
      <c r="G807" s="572"/>
      <c r="H807" s="404"/>
      <c r="I807" s="404"/>
    </row>
    <row r="808" spans="1:9" ht="14.4">
      <c r="A808" s="413"/>
      <c r="B808" s="413"/>
      <c r="C808" s="322"/>
      <c r="D808" s="2124"/>
      <c r="E808" s="2124"/>
      <c r="F808" s="2124"/>
      <c r="G808" s="572"/>
      <c r="H808" s="404"/>
      <c r="I808" s="404"/>
    </row>
    <row r="809" spans="1:9" ht="14.4">
      <c r="A809" s="413"/>
      <c r="B809" s="413"/>
      <c r="C809" s="322"/>
      <c r="D809" s="2124"/>
      <c r="E809" s="2124"/>
      <c r="F809" s="2124"/>
      <c r="G809" s="572"/>
      <c r="H809" s="404"/>
      <c r="I809" s="404"/>
    </row>
    <row r="810" spans="1:9" ht="14.4">
      <c r="A810" s="413"/>
      <c r="B810" s="413"/>
      <c r="C810" s="322"/>
      <c r="D810" s="1333"/>
      <c r="E810" s="1333"/>
      <c r="F810" s="1333"/>
      <c r="G810" s="572"/>
      <c r="H810" s="404"/>
      <c r="I810" s="404"/>
    </row>
    <row r="811" spans="1:9" ht="14.4">
      <c r="A811" s="413"/>
      <c r="B811" s="1503" t="s">
        <v>136</v>
      </c>
      <c r="C811" s="322"/>
      <c r="D811" s="2087" t="s">
        <v>2130</v>
      </c>
      <c r="E811" s="2124"/>
      <c r="F811" s="2124"/>
      <c r="G811" s="572"/>
      <c r="H811" s="404"/>
      <c r="I811" s="404"/>
    </row>
    <row r="812" spans="1:9" ht="14.4">
      <c r="A812" s="413"/>
      <c r="B812" s="413"/>
      <c r="C812" s="322"/>
      <c r="D812" s="2124"/>
      <c r="E812" s="2124"/>
      <c r="F812" s="2124"/>
      <c r="G812" s="572"/>
      <c r="H812" s="404"/>
      <c r="I812" s="404"/>
    </row>
    <row r="813" spans="1:9" ht="14.4">
      <c r="A813" s="413"/>
      <c r="B813" s="413"/>
      <c r="C813" s="322"/>
      <c r="D813" s="2124"/>
      <c r="E813" s="2124"/>
      <c r="F813" s="2124"/>
      <c r="G813" s="572"/>
      <c r="H813" s="404"/>
      <c r="I813" s="404"/>
    </row>
    <row r="814" spans="1:9" ht="14.4">
      <c r="A814" s="413"/>
      <c r="B814" s="413"/>
      <c r="C814" s="322"/>
      <c r="D814" s="2124"/>
      <c r="E814" s="2124"/>
      <c r="F814" s="2124"/>
      <c r="G814" s="572"/>
      <c r="H814" s="404"/>
      <c r="I814" s="404"/>
    </row>
    <row r="815" spans="1:9" ht="14.4">
      <c r="A815" s="413"/>
      <c r="B815" s="413"/>
      <c r="C815" s="322"/>
      <c r="D815" s="2124"/>
      <c r="E815" s="2124"/>
      <c r="F815" s="2124"/>
      <c r="G815" s="572"/>
      <c r="H815" s="404"/>
      <c r="I815" s="404"/>
    </row>
    <row r="816" spans="1:9" ht="14.4">
      <c r="A816" s="413"/>
      <c r="B816" s="413"/>
      <c r="C816" s="322"/>
      <c r="D816" s="1055"/>
      <c r="E816" s="1055"/>
      <c r="F816" s="1055"/>
      <c r="G816" s="572"/>
      <c r="H816" s="404"/>
      <c r="I816" s="404"/>
    </row>
    <row r="817" spans="1:9" ht="14.4">
      <c r="A817" s="413"/>
      <c r="B817" s="1503" t="s">
        <v>136</v>
      </c>
      <c r="C817" s="322"/>
      <c r="D817" s="2124" t="s">
        <v>1804</v>
      </c>
      <c r="E817" s="2124"/>
      <c r="F817" s="2124"/>
      <c r="G817" s="572"/>
      <c r="H817" s="404"/>
      <c r="I817" s="404"/>
    </row>
    <row r="818" spans="1:9" ht="14.4">
      <c r="A818" s="413"/>
      <c r="B818" s="413"/>
      <c r="C818" s="322"/>
      <c r="D818" s="2124"/>
      <c r="E818" s="2124"/>
      <c r="F818" s="2124"/>
      <c r="G818" s="572"/>
      <c r="H818" s="404"/>
      <c r="I818" s="404"/>
    </row>
    <row r="819" spans="1:9" ht="14.4">
      <c r="A819" s="413"/>
      <c r="B819" s="413"/>
      <c r="C819" s="322"/>
      <c r="D819" s="2124"/>
      <c r="E819" s="2124"/>
      <c r="F819" s="2124"/>
      <c r="G819" s="572"/>
      <c r="H819" s="404"/>
      <c r="I819" s="404"/>
    </row>
    <row r="820" spans="1:9" ht="14.4">
      <c r="A820" s="413"/>
      <c r="B820" s="413"/>
      <c r="C820" s="322"/>
      <c r="D820" s="2124"/>
      <c r="E820" s="2124"/>
      <c r="F820" s="2124"/>
      <c r="G820" s="572"/>
      <c r="H820" s="404"/>
      <c r="I820" s="404"/>
    </row>
    <row r="821" spans="1:9" ht="14.4">
      <c r="A821" s="413"/>
      <c r="B821" s="413"/>
      <c r="C821" s="322"/>
      <c r="D821" s="296"/>
      <c r="E821" s="282"/>
      <c r="F821" s="282"/>
      <c r="G821" s="572"/>
      <c r="H821" s="404"/>
      <c r="I821" s="404"/>
    </row>
    <row r="822" spans="1:9" ht="14.4">
      <c r="A822" s="413"/>
      <c r="B822" s="1503" t="s">
        <v>136</v>
      </c>
      <c r="C822" s="322"/>
      <c r="D822" s="2102" t="s">
        <v>1807</v>
      </c>
      <c r="E822" s="2102"/>
      <c r="F822" s="2102"/>
      <c r="G822" s="572"/>
      <c r="H822" s="404"/>
      <c r="I822" s="404"/>
    </row>
    <row r="823" spans="1:9" ht="14.4">
      <c r="A823" s="413"/>
      <c r="B823" s="413"/>
      <c r="C823" s="322"/>
      <c r="D823" s="2102"/>
      <c r="E823" s="2102"/>
      <c r="F823" s="2102"/>
      <c r="G823" s="572"/>
      <c r="H823" s="404"/>
      <c r="I823" s="404"/>
    </row>
    <row r="824" spans="1:9" ht="13.2">
      <c r="A824" s="33"/>
      <c r="B824" s="33"/>
      <c r="C824" s="322"/>
      <c r="D824" s="2102"/>
      <c r="E824" s="2102"/>
      <c r="F824" s="2102"/>
      <c r="G824" s="572"/>
      <c r="H824" s="404"/>
      <c r="I824" s="404"/>
    </row>
    <row r="825" spans="1:9" ht="14.4">
      <c r="A825" s="413"/>
      <c r="B825" s="996"/>
      <c r="C825" s="322"/>
      <c r="D825" s="2102"/>
      <c r="E825" s="2102"/>
      <c r="F825" s="2102"/>
      <c r="G825" s="572"/>
      <c r="H825" s="404"/>
      <c r="I825" s="404"/>
    </row>
    <row r="826" spans="1:9" ht="14.4">
      <c r="A826" s="413"/>
      <c r="B826" s="996"/>
      <c r="C826" s="322"/>
      <c r="D826" s="2102"/>
      <c r="E826" s="2102"/>
      <c r="F826" s="2102"/>
      <c r="G826" s="572"/>
      <c r="H826" s="404"/>
      <c r="I826" s="404"/>
    </row>
    <row r="827" spans="1:9" ht="14.4">
      <c r="A827" s="413"/>
      <c r="B827" s="996"/>
      <c r="C827" s="322"/>
      <c r="D827" s="2102"/>
      <c r="E827" s="2102"/>
      <c r="F827" s="2102"/>
      <c r="G827" s="572"/>
      <c r="H827" s="404"/>
      <c r="I827" s="404"/>
    </row>
    <row r="828" spans="1:9" ht="14.4">
      <c r="A828" s="413"/>
      <c r="B828" s="1056"/>
      <c r="C828" s="322"/>
      <c r="D828" s="1054"/>
      <c r="E828" s="1054"/>
      <c r="F828" s="1054"/>
      <c r="G828" s="572"/>
      <c r="H828" s="404"/>
      <c r="I828" s="404"/>
    </row>
    <row r="829" spans="1:9" ht="14.4">
      <c r="A829" s="413"/>
      <c r="B829" s="1503" t="s">
        <v>136</v>
      </c>
      <c r="C829" s="322"/>
      <c r="D829" s="2124" t="s">
        <v>1806</v>
      </c>
      <c r="E829" s="2124"/>
      <c r="F829" s="2124"/>
      <c r="G829" s="572"/>
      <c r="H829" s="404"/>
      <c r="I829" s="404"/>
    </row>
    <row r="830" spans="1:9" ht="14.4">
      <c r="A830" s="413"/>
      <c r="B830" s="413"/>
      <c r="C830" s="322"/>
      <c r="D830" s="2124"/>
      <c r="E830" s="2124"/>
      <c r="F830" s="2124"/>
      <c r="G830" s="572"/>
      <c r="H830" s="404"/>
      <c r="I830" s="404"/>
    </row>
    <row r="831" spans="1:9" ht="14.4">
      <c r="A831" s="413"/>
      <c r="B831" s="413"/>
      <c r="C831" s="322"/>
      <c r="D831" s="296"/>
      <c r="E831" s="282"/>
      <c r="F831" s="282"/>
      <c r="G831" s="572"/>
      <c r="H831" s="404"/>
      <c r="I831" s="404"/>
    </row>
    <row r="832" spans="1:9" ht="14.4">
      <c r="A832" s="413"/>
      <c r="B832" s="1503" t="s">
        <v>136</v>
      </c>
      <c r="C832" s="322"/>
      <c r="D832" s="2102" t="s">
        <v>1808</v>
      </c>
      <c r="E832" s="2102"/>
      <c r="F832" s="2102"/>
      <c r="G832" s="572"/>
      <c r="H832" s="404"/>
      <c r="I832" s="404"/>
    </row>
    <row r="833" spans="1:9" ht="14.4">
      <c r="A833" s="413"/>
      <c r="B833" s="413"/>
      <c r="C833" s="322"/>
      <c r="D833" s="2102"/>
      <c r="E833" s="2102"/>
      <c r="F833" s="2102"/>
      <c r="G833" s="572"/>
      <c r="H833" s="404"/>
      <c r="I833" s="404"/>
    </row>
    <row r="834" spans="1:9" ht="13.2">
      <c r="A834" s="33"/>
      <c r="B834" s="33"/>
      <c r="C834" s="322"/>
      <c r="D834" s="296"/>
      <c r="E834" s="282"/>
      <c r="F834" s="282"/>
      <c r="G834" s="572"/>
      <c r="H834" s="404"/>
      <c r="I834" s="404"/>
    </row>
    <row r="835" spans="1:9" ht="13.2">
      <c r="A835" s="2138" t="s">
        <v>2151</v>
      </c>
      <c r="B835" s="2138"/>
      <c r="C835" s="2138"/>
      <c r="D835" s="2138"/>
      <c r="E835" s="2138"/>
      <c r="F835" s="2138"/>
      <c r="G835" s="2138"/>
      <c r="H835" s="404"/>
      <c r="I835" s="404"/>
    </row>
    <row r="836" spans="1:9" ht="13.2">
      <c r="A836" s="414"/>
      <c r="B836" s="414"/>
      <c r="C836" s="322"/>
      <c r="D836" s="296"/>
      <c r="E836" s="296"/>
      <c r="F836" s="296"/>
      <c r="G836" s="572"/>
      <c r="H836" s="404"/>
      <c r="I836" s="404"/>
    </row>
    <row r="837" spans="1:9" ht="14.4">
      <c r="A837" s="413"/>
      <c r="B837" s="413"/>
      <c r="C837" s="14"/>
      <c r="D837" s="2116" t="s">
        <v>1702</v>
      </c>
      <c r="E837" s="2116"/>
      <c r="F837" s="2116"/>
      <c r="H837" s="404"/>
      <c r="I837" s="404"/>
    </row>
    <row r="838" spans="1:9" ht="14.4">
      <c r="A838" s="413"/>
      <c r="B838" s="413"/>
      <c r="C838" s="14"/>
      <c r="D838" s="2095" t="s">
        <v>2148</v>
      </c>
      <c r="E838" s="2095"/>
      <c r="F838" s="2095"/>
      <c r="H838" s="404"/>
      <c r="I838" s="404"/>
    </row>
    <row r="839" spans="1:9" ht="14.4">
      <c r="A839" s="413"/>
      <c r="B839" s="413"/>
      <c r="C839" s="14"/>
      <c r="D839" s="1347"/>
      <c r="E839" s="1349"/>
      <c r="F839" s="1349"/>
      <c r="H839" s="404"/>
      <c r="I839" s="404"/>
    </row>
    <row r="840" spans="1:9" ht="13.2">
      <c r="A840" s="140"/>
      <c r="B840" s="950" t="s">
        <v>1533</v>
      </c>
      <c r="C840" s="322"/>
      <c r="D840" s="2088" t="s">
        <v>1628</v>
      </c>
      <c r="E840" s="2088"/>
      <c r="F840" s="2088"/>
      <c r="H840" s="404"/>
      <c r="I840" s="404"/>
    </row>
    <row r="841" spans="1:9" ht="13.2">
      <c r="A841" s="33"/>
      <c r="B841" s="33"/>
      <c r="C841" s="322"/>
      <c r="D841" s="6" t="s">
        <v>1596</v>
      </c>
      <c r="E841" s="2117" t="s">
        <v>1629</v>
      </c>
      <c r="F841" s="2117"/>
      <c r="H841" s="404"/>
      <c r="I841" s="404"/>
    </row>
    <row r="842" spans="1:9" ht="13.2">
      <c r="A842" s="33"/>
      <c r="B842" s="33"/>
      <c r="C842" s="322"/>
      <c r="D842" s="333"/>
      <c r="E842" s="282"/>
      <c r="F842" s="282"/>
      <c r="H842" s="404"/>
      <c r="I842" s="404"/>
    </row>
    <row r="843" spans="1:9" ht="13.2">
      <c r="A843" s="1032"/>
      <c r="B843" s="1503" t="s">
        <v>136</v>
      </c>
      <c r="C843" s="322"/>
      <c r="D843" s="2128" t="s">
        <v>1893</v>
      </c>
      <c r="E843" s="2128"/>
      <c r="F843" s="2128"/>
      <c r="H843" s="404"/>
      <c r="I843" s="404"/>
    </row>
    <row r="844" spans="1:9" ht="13.2">
      <c r="A844" s="1032"/>
      <c r="B844" s="1032"/>
      <c r="C844" s="322"/>
      <c r="D844" s="2128"/>
      <c r="E844" s="2128"/>
      <c r="F844" s="2128"/>
      <c r="H844" s="404"/>
      <c r="I844" s="404"/>
    </row>
    <row r="845" spans="1:9" ht="13.2">
      <c r="A845" s="1032"/>
      <c r="B845" s="1032"/>
      <c r="C845" s="322"/>
      <c r="D845" s="2128"/>
      <c r="E845" s="2128"/>
      <c r="F845" s="2128"/>
      <c r="H845" s="404"/>
      <c r="I845" s="404"/>
    </row>
    <row r="846" spans="1:9" ht="13.2">
      <c r="A846" s="1032"/>
      <c r="B846" s="1032"/>
      <c r="C846" s="322"/>
      <c r="D846" s="2128"/>
      <c r="E846" s="2128"/>
      <c r="F846" s="2128"/>
      <c r="H846" s="404"/>
      <c r="I846" s="404"/>
    </row>
    <row r="847" spans="1:9" ht="13.2">
      <c r="A847" s="1032"/>
      <c r="B847" s="1032"/>
      <c r="C847" s="322"/>
      <c r="D847" s="2128"/>
      <c r="E847" s="2128"/>
      <c r="F847" s="2128"/>
      <c r="H847" s="404"/>
      <c r="I847" s="404"/>
    </row>
    <row r="848" spans="1:9" ht="13.2">
      <c r="A848" s="1032"/>
      <c r="B848" s="1032"/>
      <c r="C848" s="322"/>
      <c r="D848" s="2128"/>
      <c r="E848" s="2128"/>
      <c r="F848" s="2128"/>
      <c r="H848" s="404"/>
      <c r="I848" s="404"/>
    </row>
    <row r="849" spans="1:9" ht="13.2">
      <c r="A849" s="1032"/>
      <c r="B849" s="1032"/>
      <c r="C849" s="322"/>
      <c r="D849" s="2128"/>
      <c r="E849" s="2128"/>
      <c r="F849" s="2128"/>
      <c r="H849" s="404"/>
      <c r="I849" s="404"/>
    </row>
    <row r="850" spans="1:9" ht="13.2">
      <c r="A850" s="1032"/>
      <c r="B850" s="1032"/>
      <c r="C850" s="322"/>
      <c r="D850" s="2128"/>
      <c r="E850" s="2128"/>
      <c r="F850" s="2128"/>
      <c r="H850" s="404"/>
      <c r="I850" s="404"/>
    </row>
    <row r="851" spans="1:9" ht="13.2">
      <c r="A851" s="1032"/>
      <c r="B851" s="1032"/>
      <c r="C851" s="322"/>
      <c r="D851" s="2128"/>
      <c r="E851" s="2128"/>
      <c r="F851" s="2128"/>
      <c r="H851" s="404"/>
      <c r="I851" s="404"/>
    </row>
    <row r="852" spans="1:9" ht="13.2">
      <c r="A852" s="1032"/>
      <c r="B852" s="1032"/>
      <c r="C852" s="322"/>
      <c r="D852" s="333"/>
      <c r="E852" s="282"/>
      <c r="F852" s="282"/>
      <c r="H852" s="404"/>
      <c r="I852" s="404"/>
    </row>
    <row r="853" spans="1:9" ht="14.4">
      <c r="A853" s="413"/>
      <c r="B853" s="950" t="s">
        <v>1533</v>
      </c>
      <c r="C853" s="322"/>
      <c r="D853" s="2088" t="s">
        <v>1630</v>
      </c>
      <c r="E853" s="2088"/>
      <c r="F853" s="2088"/>
      <c r="H853" s="404"/>
      <c r="I853" s="404"/>
    </row>
    <row r="854" spans="1:9" ht="14.4">
      <c r="A854" s="413"/>
      <c r="B854" s="413"/>
      <c r="C854" s="322"/>
      <c r="D854" s="2088"/>
      <c r="E854" s="2088"/>
      <c r="F854" s="2088"/>
      <c r="H854" s="404"/>
      <c r="I854" s="404"/>
    </row>
    <row r="855" spans="1:9" ht="14.4">
      <c r="A855" s="413"/>
      <c r="B855" s="413"/>
      <c r="C855" s="322"/>
      <c r="D855" s="2088"/>
      <c r="E855" s="2088"/>
      <c r="F855" s="2088"/>
      <c r="H855" s="404"/>
      <c r="I855" s="404"/>
    </row>
    <row r="856" spans="1:9" ht="14.4">
      <c r="A856" s="570"/>
      <c r="B856" s="570"/>
      <c r="C856" s="405"/>
      <c r="D856" s="403"/>
      <c r="H856" s="404"/>
      <c r="I856" s="404"/>
    </row>
    <row r="857" spans="1:9" ht="13.2">
      <c r="A857" s="706"/>
      <c r="B857" s="950" t="s">
        <v>136</v>
      </c>
      <c r="C857" s="405"/>
      <c r="D857" s="2110" t="s">
        <v>1631</v>
      </c>
      <c r="E857" s="2110"/>
      <c r="F857" s="2110"/>
      <c r="H857" s="404"/>
      <c r="I857" s="404"/>
    </row>
    <row r="858" spans="1:9" ht="13.2">
      <c r="A858" s="14"/>
      <c r="B858" s="706"/>
      <c r="C858" s="405"/>
      <c r="D858" s="2110"/>
      <c r="E858" s="2110"/>
      <c r="F858" s="2110"/>
      <c r="H858" s="404"/>
      <c r="I858" s="404"/>
    </row>
    <row r="859" spans="1:9" ht="14.25" customHeight="1">
      <c r="A859" s="570"/>
      <c r="B859" s="14"/>
      <c r="C859" s="405"/>
      <c r="D859" s="2093" t="s">
        <v>1657</v>
      </c>
      <c r="E859" s="2093"/>
      <c r="F859" s="2093"/>
      <c r="H859" s="404"/>
      <c r="I859" s="404"/>
    </row>
    <row r="860" spans="1:9" ht="14.4">
      <c r="A860" s="570"/>
      <c r="B860" s="570"/>
      <c r="C860" s="405"/>
      <c r="D860" s="2093"/>
      <c r="E860" s="2093"/>
      <c r="F860" s="2093"/>
      <c r="H860" s="404"/>
      <c r="I860" s="404"/>
    </row>
    <row r="861" spans="1:9" ht="14.4">
      <c r="A861" s="570"/>
      <c r="B861" s="570"/>
      <c r="C861" s="405"/>
      <c r="D861" s="2093"/>
      <c r="E861" s="2093"/>
      <c r="F861" s="2093"/>
      <c r="H861" s="404"/>
      <c r="I861" s="404"/>
    </row>
    <row r="862" spans="1:9" ht="14.4">
      <c r="A862" s="570"/>
      <c r="B862" s="570"/>
      <c r="C862" s="405"/>
      <c r="D862" s="2093"/>
      <c r="E862" s="2093"/>
      <c r="F862" s="2093"/>
      <c r="H862" s="404"/>
      <c r="I862" s="404"/>
    </row>
    <row r="863" spans="1:9" ht="14.4">
      <c r="A863" s="570"/>
      <c r="B863" s="570"/>
      <c r="C863" s="405"/>
      <c r="D863" s="2093"/>
      <c r="E863" s="2093"/>
      <c r="F863" s="2093"/>
      <c r="H863" s="404"/>
      <c r="I863" s="404"/>
    </row>
    <row r="864" spans="1:9" ht="14.25" customHeight="1">
      <c r="A864" s="570"/>
      <c r="B864" s="570"/>
      <c r="C864" s="405"/>
      <c r="D864" s="2093"/>
      <c r="E864" s="2093"/>
      <c r="F864" s="2093"/>
      <c r="H864" s="404"/>
      <c r="I864" s="404"/>
    </row>
    <row r="865" spans="1:9" ht="14.4">
      <c r="A865" s="570"/>
      <c r="B865" s="570"/>
      <c r="C865" s="405"/>
      <c r="D865" s="403"/>
      <c r="H865" s="404"/>
      <c r="I865" s="404"/>
    </row>
    <row r="866" spans="1:9" ht="14.4">
      <c r="A866" s="570"/>
      <c r="B866" s="1503" t="s">
        <v>136</v>
      </c>
      <c r="C866" s="405"/>
      <c r="D866" s="2093" t="s">
        <v>1302</v>
      </c>
      <c r="E866" s="2093"/>
      <c r="F866" s="2093"/>
      <c r="H866" s="404"/>
      <c r="I866" s="404"/>
    </row>
    <row r="867" spans="1:9" ht="14.4">
      <c r="A867" s="570"/>
      <c r="B867" s="570"/>
      <c r="C867" s="405"/>
      <c r="D867" s="2093" t="s">
        <v>1303</v>
      </c>
      <c r="E867" s="2093"/>
      <c r="F867" s="2093"/>
      <c r="H867" s="404"/>
      <c r="I867" s="404"/>
    </row>
    <row r="868" spans="1:9" ht="14.4">
      <c r="A868" s="570"/>
      <c r="B868" s="570"/>
      <c r="C868" s="405"/>
      <c r="D868" s="330" t="s">
        <v>1595</v>
      </c>
      <c r="E868" s="2104" t="s">
        <v>1632</v>
      </c>
      <c r="F868" s="2104"/>
      <c r="H868" s="404"/>
      <c r="I868" s="404"/>
    </row>
    <row r="869" spans="1:9" ht="14.4">
      <c r="A869" s="570"/>
      <c r="B869" s="570"/>
      <c r="C869" s="405"/>
      <c r="D869" s="403"/>
      <c r="H869" s="404"/>
      <c r="I869" s="404"/>
    </row>
    <row r="870" spans="1:9" ht="14.4">
      <c r="A870" s="570"/>
      <c r="B870" s="1503" t="s">
        <v>136</v>
      </c>
      <c r="C870" s="405"/>
      <c r="D870" s="2093" t="s">
        <v>1633</v>
      </c>
      <c r="E870" s="2093"/>
      <c r="F870" s="2093"/>
      <c r="H870" s="404"/>
      <c r="I870" s="404"/>
    </row>
    <row r="871" spans="1:9" ht="14.4">
      <c r="A871" s="570"/>
      <c r="B871" s="570"/>
      <c r="C871" s="405"/>
      <c r="D871" s="2093"/>
      <c r="E871" s="2093"/>
      <c r="F871" s="2093"/>
      <c r="H871" s="404"/>
      <c r="I871" s="404"/>
    </row>
    <row r="872" spans="1:9" ht="14.4">
      <c r="A872" s="570"/>
      <c r="B872" s="570"/>
      <c r="C872" s="405"/>
      <c r="D872" s="2093"/>
      <c r="E872" s="2093"/>
      <c r="F872" s="2093"/>
      <c r="H872" s="404"/>
      <c r="I872" s="404"/>
    </row>
    <row r="873" spans="1:9" ht="14.4">
      <c r="A873" s="570"/>
      <c r="B873" s="570"/>
      <c r="C873" s="405"/>
      <c r="D873" s="2093"/>
      <c r="E873" s="2093"/>
      <c r="F873" s="2093"/>
      <c r="H873" s="404"/>
      <c r="I873" s="404"/>
    </row>
    <row r="874" spans="1:9" ht="13.2">
      <c r="A874" s="414"/>
      <c r="B874" s="414"/>
      <c r="C874" s="298"/>
      <c r="D874" s="287"/>
      <c r="E874" s="282"/>
      <c r="F874" s="282"/>
      <c r="H874" s="404"/>
      <c r="I874" s="404"/>
    </row>
    <row r="875" spans="1:9" ht="13.2">
      <c r="A875" s="416" t="s">
        <v>1560</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2092" t="s">
        <v>1701</v>
      </c>
      <c r="E877" s="2092"/>
      <c r="F877" s="2092"/>
      <c r="G877" s="572"/>
      <c r="H877" s="404"/>
      <c r="I877" s="404"/>
    </row>
    <row r="878" spans="1:9" ht="13.2">
      <c r="A878" s="1021"/>
      <c r="B878" s="1021"/>
      <c r="C878" s="299"/>
      <c r="D878" s="2112" t="s">
        <v>2149</v>
      </c>
      <c r="E878" s="2113"/>
      <c r="F878" s="2113"/>
      <c r="G878" s="572"/>
      <c r="H878" s="404"/>
      <c r="I878" s="404"/>
    </row>
    <row r="879" spans="1:9" ht="13.2">
      <c r="A879" s="1021"/>
      <c r="B879" s="1021"/>
      <c r="C879" s="299"/>
      <c r="D879" s="1014"/>
      <c r="E879" s="1014"/>
      <c r="F879" s="1014"/>
      <c r="G879" s="572"/>
      <c r="H879" s="404"/>
      <c r="I879" s="404"/>
    </row>
    <row r="880" spans="1:9" ht="14.4">
      <c r="A880" s="413"/>
      <c r="B880" s="950" t="s">
        <v>1533</v>
      </c>
      <c r="C880" s="14"/>
      <c r="D880" s="2089" t="s">
        <v>1656</v>
      </c>
      <c r="E880" s="2089"/>
      <c r="F880" s="2089"/>
      <c r="G880" s="572"/>
      <c r="H880" s="404"/>
      <c r="I880" s="404"/>
    </row>
    <row r="881" spans="1:9" ht="13.2">
      <c r="A881" s="140"/>
      <c r="B881" s="140"/>
      <c r="C881" s="14"/>
      <c r="D881" s="6" t="s">
        <v>1595</v>
      </c>
      <c r="E881" s="2111" t="s">
        <v>1632</v>
      </c>
      <c r="F881" s="2111"/>
      <c r="G881" s="572"/>
    </row>
    <row r="882" spans="1:9" ht="13.2">
      <c r="A882" s="140"/>
      <c r="B882" s="140"/>
      <c r="C882" s="14"/>
      <c r="D882" s="287"/>
      <c r="E882" s="296"/>
      <c r="F882" s="296"/>
      <c r="G882" s="572"/>
      <c r="H882" s="404"/>
      <c r="I882" s="404"/>
    </row>
    <row r="883" spans="1:9" ht="14.4">
      <c r="A883" s="413"/>
      <c r="B883" s="950" t="s">
        <v>1533</v>
      </c>
      <c r="C883" s="14"/>
      <c r="D883" s="2095" t="s">
        <v>2152</v>
      </c>
      <c r="E883" s="2162"/>
      <c r="F883" s="2162"/>
    </row>
    <row r="884" spans="1:9" ht="12.6" customHeight="1">
      <c r="A884" s="140"/>
      <c r="B884" s="140"/>
      <c r="C884" s="14"/>
      <c r="D884" s="2162"/>
      <c r="E884" s="2162"/>
      <c r="F884" s="2162"/>
    </row>
    <row r="885" spans="1:9" ht="14.4">
      <c r="A885" s="413"/>
      <c r="B885" s="413"/>
      <c r="C885" s="14"/>
      <c r="D885" s="287"/>
      <c r="E885" s="296"/>
      <c r="F885" s="296"/>
      <c r="G885" s="572"/>
      <c r="H885" s="404"/>
      <c r="I885" s="404"/>
    </row>
    <row r="886" spans="1:9" ht="13.2">
      <c r="A886" s="14"/>
      <c r="B886" s="1503" t="s">
        <v>136</v>
      </c>
      <c r="D886" s="2106" t="s">
        <v>1897</v>
      </c>
      <c r="E886" s="2106"/>
      <c r="F886" s="2106"/>
      <c r="G886" s="572"/>
      <c r="H886" s="404"/>
      <c r="I886" s="404"/>
    </row>
    <row r="887" spans="1:9" ht="29.4" customHeight="1">
      <c r="A887" s="14"/>
      <c r="B887" s="898"/>
      <c r="D887" s="2106"/>
      <c r="E887" s="2106"/>
      <c r="F887" s="2106"/>
      <c r="G887" s="572"/>
      <c r="H887" s="404"/>
      <c r="I887" s="404"/>
    </row>
    <row r="888" spans="1:9" ht="14.4">
      <c r="A888" s="413"/>
      <c r="B888" s="2"/>
      <c r="C888" s="14"/>
      <c r="D888" s="2093" t="s">
        <v>1657</v>
      </c>
      <c r="E888" s="2093"/>
      <c r="F888" s="2093"/>
      <c r="G888" s="572"/>
      <c r="H888" s="404"/>
      <c r="I888" s="404"/>
    </row>
    <row r="889" spans="1:9" ht="14.4">
      <c r="A889" s="413"/>
      <c r="B889" s="413"/>
      <c r="C889" s="14"/>
      <c r="D889" s="2093"/>
      <c r="E889" s="2093"/>
      <c r="F889" s="2093"/>
      <c r="G889" s="572"/>
      <c r="H889" s="404"/>
      <c r="I889" s="404"/>
    </row>
    <row r="890" spans="1:9" ht="14.4">
      <c r="A890" s="413"/>
      <c r="B890" s="413"/>
      <c r="C890" s="14"/>
      <c r="D890" s="2093"/>
      <c r="E890" s="2093"/>
      <c r="F890" s="2093"/>
      <c r="G890" s="572"/>
      <c r="H890" s="404"/>
      <c r="I890" s="404"/>
    </row>
    <row r="891" spans="1:9" ht="14.4">
      <c r="A891" s="413"/>
      <c r="B891" s="413"/>
      <c r="C891" s="14"/>
      <c r="D891" s="2093"/>
      <c r="E891" s="2093"/>
      <c r="F891" s="2093"/>
      <c r="G891" s="572"/>
      <c r="H891" s="404"/>
      <c r="I891" s="404"/>
    </row>
    <row r="892" spans="1:9" ht="14.4">
      <c r="A892" s="413"/>
      <c r="B892" s="413"/>
      <c r="C892" s="14"/>
      <c r="D892" s="2093"/>
      <c r="E892" s="2093"/>
      <c r="F892" s="2093"/>
      <c r="G892" s="572"/>
      <c r="H892" s="404"/>
      <c r="I892" s="404"/>
    </row>
    <row r="893" spans="1:9" ht="14.4">
      <c r="A893" s="413"/>
      <c r="B893" s="413"/>
      <c r="C893" s="14"/>
      <c r="D893" s="2093"/>
      <c r="E893" s="2093"/>
      <c r="F893" s="2093"/>
      <c r="G893" s="572"/>
      <c r="H893" s="404"/>
      <c r="I893" s="404"/>
    </row>
    <row r="894" spans="1:9" ht="14.4">
      <c r="A894" s="413"/>
      <c r="B894" s="413"/>
      <c r="C894" s="14"/>
      <c r="D894" s="287"/>
      <c r="E894" s="296"/>
      <c r="F894" s="296"/>
      <c r="G894" s="572"/>
      <c r="H894" s="404"/>
      <c r="I894" s="404"/>
    </row>
    <row r="895" spans="1:9" ht="14.4">
      <c r="A895" s="413"/>
      <c r="B895" s="1503" t="s">
        <v>136</v>
      </c>
      <c r="C895" s="14"/>
      <c r="D895" s="2107" t="s">
        <v>1302</v>
      </c>
      <c r="E895" s="2107"/>
      <c r="F895" s="2107"/>
      <c r="G895" s="572"/>
      <c r="H895" s="404"/>
      <c r="I895" s="404"/>
    </row>
    <row r="896" spans="1:9" ht="14.4">
      <c r="A896" s="413"/>
      <c r="B896" s="413"/>
      <c r="C896" s="14"/>
      <c r="D896" s="2107" t="s">
        <v>1303</v>
      </c>
      <c r="E896" s="2107"/>
      <c r="F896" s="2107"/>
      <c r="G896" s="572"/>
      <c r="H896" s="404"/>
      <c r="I896" s="404"/>
    </row>
    <row r="897" spans="1:9" ht="14.4">
      <c r="A897" s="413"/>
      <c r="B897" s="413"/>
      <c r="C897" s="14"/>
      <c r="D897" s="6" t="s">
        <v>1658</v>
      </c>
      <c r="E897" s="2108" t="s">
        <v>1632</v>
      </c>
      <c r="F897" s="2108"/>
      <c r="G897" s="572"/>
      <c r="H897" s="404"/>
      <c r="I897" s="404"/>
    </row>
    <row r="898" spans="1:9" ht="14.4">
      <c r="A898" s="413"/>
      <c r="B898" s="413"/>
      <c r="C898" s="14"/>
      <c r="D898" s="287"/>
      <c r="E898" s="296"/>
      <c r="F898" s="296"/>
      <c r="G898" s="572"/>
      <c r="H898" s="404"/>
      <c r="I898" s="404"/>
    </row>
    <row r="899" spans="1:9" ht="14.4">
      <c r="A899" s="413"/>
      <c r="B899" s="1503" t="s">
        <v>136</v>
      </c>
      <c r="C899" s="14"/>
      <c r="D899" s="2088" t="s">
        <v>1633</v>
      </c>
      <c r="E899" s="2088"/>
      <c r="F899" s="2088"/>
      <c r="G899" s="572"/>
      <c r="H899" s="404"/>
      <c r="I899" s="404"/>
    </row>
    <row r="900" spans="1:9" ht="14.4">
      <c r="A900" s="413"/>
      <c r="B900" s="413"/>
      <c r="C900" s="14"/>
      <c r="D900" s="2088"/>
      <c r="E900" s="2088"/>
      <c r="F900" s="2088"/>
      <c r="G900" s="572"/>
      <c r="H900" s="404"/>
      <c r="I900" s="404"/>
    </row>
    <row r="901" spans="1:9" ht="14.4">
      <c r="A901" s="413"/>
      <c r="B901" s="413"/>
      <c r="C901" s="14"/>
      <c r="D901" s="2088"/>
      <c r="E901" s="2088"/>
      <c r="F901" s="2088"/>
      <c r="G901" s="572"/>
      <c r="H901" s="404"/>
      <c r="I901" s="404"/>
    </row>
    <row r="902" spans="1:9" ht="14.4">
      <c r="A902" s="413"/>
      <c r="B902" s="413"/>
      <c r="C902" s="14"/>
      <c r="D902" s="2088"/>
      <c r="E902" s="2088"/>
      <c r="F902" s="2088"/>
      <c r="G902" s="572"/>
      <c r="H902" s="404"/>
      <c r="I902" s="404"/>
    </row>
    <row r="903" spans="1:9" ht="13.2">
      <c r="A903" s="143"/>
      <c r="B903" s="143"/>
      <c r="C903" s="322"/>
      <c r="D903" s="296"/>
      <c r="E903" s="296"/>
      <c r="F903" s="296"/>
      <c r="G903" s="572"/>
      <c r="H903" s="404"/>
      <c r="I903" s="404"/>
    </row>
    <row r="904" spans="1:9" ht="13.2">
      <c r="A904" s="2138" t="s">
        <v>1561</v>
      </c>
      <c r="B904" s="2138"/>
      <c r="C904" s="2138"/>
      <c r="D904" s="2138"/>
      <c r="E904" s="2138"/>
      <c r="F904" s="2138"/>
      <c r="G904" s="2138"/>
      <c r="H904" s="404"/>
      <c r="I904" s="404"/>
    </row>
    <row r="905" spans="1:9" ht="13.2">
      <c r="A905" s="143"/>
      <c r="B905" s="143"/>
      <c r="C905" s="322"/>
      <c r="D905" s="296"/>
      <c r="E905" s="296"/>
      <c r="F905" s="296"/>
      <c r="G905" s="572"/>
      <c r="H905" s="404"/>
      <c r="I905" s="404"/>
    </row>
    <row r="906" spans="1:9" ht="13.2">
      <c r="A906" s="140"/>
      <c r="B906" s="140"/>
      <c r="C906" s="322"/>
      <c r="D906" s="2100" t="s">
        <v>1845</v>
      </c>
      <c r="E906" s="2100"/>
      <c r="F906" s="2100"/>
      <c r="G906" s="572"/>
      <c r="H906" s="404"/>
      <c r="I906" s="404"/>
    </row>
    <row r="907" spans="1:9" ht="13.2">
      <c r="A907" s="414"/>
      <c r="B907" s="414"/>
      <c r="C907" s="298"/>
      <c r="D907" s="2089" t="s">
        <v>1655</v>
      </c>
      <c r="E907" s="2089"/>
      <c r="F907" s="2089"/>
      <c r="G907" s="572"/>
      <c r="H907" s="404"/>
      <c r="I907" s="404"/>
    </row>
    <row r="908" spans="1:9" ht="13.2">
      <c r="A908" s="414"/>
      <c r="B908" s="414"/>
      <c r="C908" s="298"/>
      <c r="D908" s="282"/>
      <c r="E908" s="282"/>
      <c r="F908" s="296"/>
      <c r="G908" s="572"/>
      <c r="H908" s="404"/>
      <c r="I908" s="404"/>
    </row>
    <row r="909" spans="1:9" ht="13.65" customHeight="1">
      <c r="A909" s="414"/>
      <c r="B909" s="1019" t="s">
        <v>136</v>
      </c>
      <c r="C909" s="298"/>
      <c r="D909" s="2103" t="s">
        <v>1855</v>
      </c>
      <c r="E909" s="2103"/>
      <c r="F909" s="2103"/>
      <c r="G909" s="572"/>
      <c r="H909" s="404"/>
      <c r="I909" s="404"/>
    </row>
    <row r="910" spans="1:9" ht="13.2">
      <c r="A910" s="414"/>
      <c r="B910" s="414"/>
      <c r="C910" s="298"/>
      <c r="D910" s="2103"/>
      <c r="E910" s="2103"/>
      <c r="F910" s="2103"/>
      <c r="G910" s="572"/>
      <c r="H910" s="404"/>
      <c r="I910" s="404"/>
    </row>
    <row r="911" spans="1:9" ht="13.2">
      <c r="A911" s="414"/>
      <c r="B911" s="414"/>
      <c r="C911" s="298"/>
      <c r="D911" s="2103"/>
      <c r="E911" s="2103"/>
      <c r="F911" s="2103"/>
      <c r="G911" s="572"/>
      <c r="H911" s="404"/>
      <c r="I911" s="404"/>
    </row>
    <row r="912" spans="1:9" ht="13.2">
      <c r="A912" s="414"/>
      <c r="B912" s="414"/>
      <c r="C912" s="298"/>
      <c r="D912" s="2103"/>
      <c r="E912" s="2103"/>
      <c r="F912" s="2103"/>
      <c r="G912" s="572"/>
      <c r="H912" s="404"/>
      <c r="I912" s="404"/>
    </row>
    <row r="913" spans="1:9" ht="13.2">
      <c r="A913" s="414"/>
      <c r="B913" s="414"/>
      <c r="C913" s="298"/>
      <c r="D913" s="2103"/>
      <c r="E913" s="2103"/>
      <c r="F913" s="2103"/>
      <c r="G913" s="572"/>
      <c r="H913" s="404"/>
      <c r="I913" s="404"/>
    </row>
    <row r="914" spans="1:9" ht="13.2">
      <c r="A914" s="415"/>
      <c r="B914" s="415"/>
      <c r="C914" s="299"/>
      <c r="D914" s="282"/>
      <c r="E914" s="282"/>
      <c r="F914" s="296"/>
      <c r="G914" s="572"/>
      <c r="H914" s="404"/>
      <c r="I914" s="404"/>
    </row>
    <row r="915" spans="1:9" ht="14.25" customHeight="1">
      <c r="A915" s="570"/>
      <c r="B915" s="950" t="s">
        <v>1533</v>
      </c>
      <c r="C915" s="571"/>
      <c r="D915" s="2104" t="s">
        <v>1955</v>
      </c>
      <c r="E915" s="2104"/>
      <c r="F915" s="2104"/>
      <c r="G915" s="572"/>
      <c r="H915" s="404"/>
      <c r="I915" s="404"/>
    </row>
    <row r="916" spans="1:9" ht="14.25" customHeight="1">
      <c r="A916" s="570"/>
      <c r="B916" s="570"/>
      <c r="C916" s="571"/>
      <c r="D916" s="2104"/>
      <c r="E916" s="2104"/>
      <c r="F916" s="2104"/>
      <c r="G916" s="572"/>
      <c r="H916" s="404"/>
      <c r="I916" s="404"/>
    </row>
    <row r="917" spans="1:9" ht="14.25" customHeight="1">
      <c r="A917" s="570"/>
      <c r="B917" s="570"/>
      <c r="C917" s="571"/>
      <c r="D917" s="2104"/>
      <c r="E917" s="2104"/>
      <c r="F917" s="2104"/>
      <c r="G917" s="572"/>
      <c r="H917" s="404"/>
      <c r="I917" s="404"/>
    </row>
    <row r="918" spans="1:9" ht="14.25" customHeight="1">
      <c r="A918" s="570"/>
      <c r="B918" s="570"/>
      <c r="C918" s="571"/>
      <c r="D918" s="2104"/>
      <c r="E918" s="2104"/>
      <c r="F918" s="2104"/>
      <c r="G918" s="572"/>
      <c r="H918" s="404"/>
      <c r="I918" s="404"/>
    </row>
    <row r="919" spans="1:9" ht="14.25" customHeight="1">
      <c r="A919" s="573"/>
      <c r="B919" s="573"/>
      <c r="C919" s="571"/>
      <c r="D919" s="2104"/>
      <c r="E919" s="2104"/>
      <c r="F919" s="2104"/>
      <c r="G919" s="572"/>
      <c r="H919" s="404"/>
      <c r="I919" s="404"/>
    </row>
    <row r="920" spans="1:9" ht="14.25" customHeight="1">
      <c r="A920" s="573"/>
      <c r="B920" s="573"/>
      <c r="C920" s="571"/>
      <c r="D920" s="2104"/>
      <c r="E920" s="2104"/>
      <c r="F920" s="2104"/>
      <c r="G920" s="572"/>
      <c r="H920" s="404"/>
      <c r="I920" s="404"/>
    </row>
    <row r="921" spans="1:9" ht="14.25" customHeight="1">
      <c r="A921" s="573"/>
      <c r="B921" s="573"/>
      <c r="C921" s="571"/>
      <c r="D921" s="2104"/>
      <c r="E921" s="2104"/>
      <c r="F921" s="2104"/>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2104" t="s">
        <v>1956</v>
      </c>
      <c r="E923" s="2104"/>
      <c r="F923" s="2104"/>
      <c r="G923" s="577"/>
      <c r="H923" s="578"/>
      <c r="I923" s="578"/>
    </row>
    <row r="924" spans="1:9" s="515" customFormat="1" ht="14.25" customHeight="1">
      <c r="A924" s="574"/>
      <c r="B924" s="574"/>
      <c r="C924" s="575"/>
      <c r="D924" s="2104"/>
      <c r="E924" s="2104"/>
      <c r="F924" s="2104"/>
      <c r="G924" s="577"/>
      <c r="H924" s="578"/>
      <c r="I924" s="578"/>
    </row>
    <row r="925" spans="1:9" s="515" customFormat="1" ht="14.25" customHeight="1">
      <c r="A925" s="574"/>
      <c r="B925" s="574"/>
      <c r="C925" s="575"/>
      <c r="D925" s="2104"/>
      <c r="E925" s="2104"/>
      <c r="F925" s="2104"/>
      <c r="G925" s="577"/>
      <c r="H925" s="578"/>
      <c r="I925" s="578"/>
    </row>
    <row r="926" spans="1:9" s="515" customFormat="1" ht="14.25" customHeight="1">
      <c r="A926" s="574"/>
      <c r="B926" s="574"/>
      <c r="C926" s="575"/>
      <c r="D926" s="2104"/>
      <c r="E926" s="2104"/>
      <c r="F926" s="2104"/>
      <c r="G926" s="577"/>
      <c r="H926" s="578"/>
      <c r="I926" s="578"/>
    </row>
    <row r="927" spans="1:9" s="515" customFormat="1" ht="14.25" customHeight="1">
      <c r="A927" s="574"/>
      <c r="B927" s="574"/>
      <c r="C927" s="575"/>
      <c r="D927" s="2104"/>
      <c r="E927" s="2104"/>
      <c r="F927" s="2104"/>
      <c r="G927" s="577"/>
      <c r="H927" s="578"/>
      <c r="I927" s="578"/>
    </row>
    <row r="928" spans="1:9" s="515" customFormat="1" ht="14.4">
      <c r="A928" s="574"/>
      <c r="B928" s="574"/>
      <c r="C928" s="575"/>
      <c r="D928" s="2104"/>
      <c r="E928" s="2104"/>
      <c r="F928" s="2104"/>
      <c r="G928" s="577"/>
      <c r="H928" s="578"/>
      <c r="I928" s="578"/>
    </row>
    <row r="929" spans="1:9" s="515" customFormat="1" ht="14.25" customHeight="1">
      <c r="A929" s="574"/>
      <c r="B929" s="574"/>
      <c r="C929" s="575"/>
      <c r="D929" s="2104"/>
      <c r="E929" s="2104"/>
      <c r="F929" s="2104"/>
      <c r="G929" s="577"/>
      <c r="H929" s="578"/>
      <c r="I929" s="578"/>
    </row>
    <row r="930" spans="1:9" s="515" customFormat="1" ht="14.25" customHeight="1">
      <c r="A930" s="574"/>
      <c r="B930" s="574"/>
      <c r="C930" s="575"/>
      <c r="D930" s="2104"/>
      <c r="E930" s="2104"/>
      <c r="F930" s="2104"/>
      <c r="G930" s="577"/>
      <c r="H930" s="578"/>
      <c r="I930" s="578"/>
    </row>
    <row r="931" spans="1:9" s="515" customFormat="1" ht="14.25" customHeight="1">
      <c r="A931" s="574"/>
      <c r="B931" s="574"/>
      <c r="C931" s="575"/>
      <c r="D931" s="2104"/>
      <c r="E931" s="2104"/>
      <c r="F931" s="2104"/>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2105" t="s">
        <v>1856</v>
      </c>
      <c r="E933" s="2105"/>
      <c r="F933" s="2105"/>
      <c r="G933" s="572"/>
      <c r="H933" s="404"/>
      <c r="I933" s="404"/>
    </row>
    <row r="934" spans="1:9" ht="14.25" customHeight="1">
      <c r="A934" s="570"/>
      <c r="B934" s="570"/>
      <c r="C934" s="571"/>
      <c r="D934" s="2105"/>
      <c r="E934" s="2105"/>
      <c r="F934" s="2105"/>
      <c r="G934" s="572"/>
      <c r="H934" s="404"/>
      <c r="I934" s="404"/>
    </row>
    <row r="935" spans="1:9" ht="14.25" customHeight="1">
      <c r="A935" s="570"/>
      <c r="B935" s="570"/>
      <c r="C935" s="571"/>
      <c r="D935" s="2105"/>
      <c r="E935" s="2105"/>
      <c r="F935" s="2105"/>
      <c r="G935" s="572"/>
      <c r="H935" s="404"/>
      <c r="I935" s="404"/>
    </row>
    <row r="936" spans="1:9" ht="14.25" customHeight="1">
      <c r="A936" s="570"/>
      <c r="B936" s="570"/>
      <c r="C936" s="571"/>
      <c r="D936" s="2105"/>
      <c r="E936" s="2105"/>
      <c r="F936" s="2105"/>
      <c r="G936" s="572"/>
      <c r="H936" s="404"/>
      <c r="I936" s="404"/>
    </row>
    <row r="937" spans="1:9" ht="14.25" customHeight="1">
      <c r="A937" s="570"/>
      <c r="B937" s="570"/>
      <c r="C937" s="571"/>
      <c r="D937" s="2105"/>
      <c r="E937" s="2105"/>
      <c r="F937" s="2105"/>
      <c r="G937" s="572"/>
      <c r="H937" s="404"/>
      <c r="I937" s="404"/>
    </row>
    <row r="938" spans="1:9" ht="14.25" customHeight="1">
      <c r="A938" s="570"/>
      <c r="B938" s="570"/>
      <c r="C938" s="571"/>
      <c r="D938" s="2105"/>
      <c r="E938" s="2105"/>
      <c r="F938" s="2105"/>
      <c r="G938" s="572"/>
      <c r="H938" s="404"/>
      <c r="I938" s="404"/>
    </row>
    <row r="939" spans="1:9" ht="14.25" customHeight="1">
      <c r="A939" s="570"/>
      <c r="B939" s="570"/>
      <c r="C939" s="571"/>
      <c r="D939" s="2105"/>
      <c r="E939" s="2105"/>
      <c r="F939" s="2105"/>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2104" t="s">
        <v>1857</v>
      </c>
      <c r="E941" s="2104"/>
      <c r="F941" s="2104"/>
      <c r="G941" s="572"/>
      <c r="H941" s="770"/>
    </row>
    <row r="942" spans="1:9" s="707" customFormat="1" ht="14.4">
      <c r="A942" s="570"/>
      <c r="B942" s="570"/>
      <c r="C942" s="571"/>
      <c r="D942" s="2104"/>
      <c r="E942" s="2104"/>
      <c r="F942" s="2104"/>
      <c r="G942" s="572"/>
      <c r="H942" s="770"/>
    </row>
    <row r="943" spans="1:9" s="707" customFormat="1" ht="14.4">
      <c r="A943" s="570"/>
      <c r="B943" s="570"/>
      <c r="C943" s="571"/>
      <c r="D943" s="2104"/>
      <c r="E943" s="2104"/>
      <c r="F943" s="2104"/>
      <c r="G943" s="572"/>
      <c r="H943" s="770"/>
    </row>
    <row r="944" spans="1:9" s="707" customFormat="1" ht="14.4">
      <c r="A944" s="570"/>
      <c r="B944" s="570"/>
      <c r="C944" s="571"/>
      <c r="D944" s="2104"/>
      <c r="E944" s="2104"/>
      <c r="F944" s="2104"/>
      <c r="G944" s="572"/>
      <c r="H944" s="770"/>
    </row>
    <row r="945" spans="1:9" s="707" customFormat="1" ht="14.4">
      <c r="A945" s="570"/>
      <c r="B945" s="570"/>
      <c r="C945" s="571"/>
      <c r="D945" s="330"/>
      <c r="E945" s="329"/>
      <c r="F945" s="572"/>
      <c r="G945" s="572"/>
      <c r="H945" s="770"/>
    </row>
    <row r="946" spans="1:9" ht="14.25" customHeight="1">
      <c r="A946" s="33"/>
      <c r="B946" s="33"/>
      <c r="C946" s="322"/>
      <c r="D946" s="2088" t="s">
        <v>1858</v>
      </c>
      <c r="E946" s="2088"/>
      <c r="F946" s="2088"/>
      <c r="G946" s="572"/>
      <c r="H946" s="404"/>
      <c r="I946" s="404"/>
    </row>
    <row r="947" spans="1:9" ht="14.25" customHeight="1">
      <c r="A947" s="355"/>
      <c r="B947" s="355"/>
      <c r="C947" s="322"/>
      <c r="D947" s="2088"/>
      <c r="E947" s="2088"/>
      <c r="F947" s="2088"/>
      <c r="G947" s="572"/>
      <c r="H947" s="404"/>
      <c r="I947" s="404"/>
    </row>
    <row r="948" spans="1:9" ht="14.25" customHeight="1">
      <c r="A948" s="355"/>
      <c r="B948" s="355"/>
      <c r="C948" s="322"/>
      <c r="D948" s="6"/>
      <c r="E948" s="296"/>
      <c r="F948" s="296"/>
      <c r="G948" s="572"/>
      <c r="H948" s="404"/>
      <c r="I948" s="404"/>
    </row>
    <row r="949" spans="1:9" ht="14.4">
      <c r="A949" s="413"/>
      <c r="B949" s="950" t="s">
        <v>1533</v>
      </c>
      <c r="C949" s="14"/>
      <c r="D949" s="2088" t="s">
        <v>1859</v>
      </c>
      <c r="E949" s="2088"/>
      <c r="F949" s="2088"/>
    </row>
    <row r="950" spans="1:9" ht="13.2">
      <c r="A950" s="140"/>
      <c r="B950" s="140"/>
      <c r="C950" s="14"/>
      <c r="D950" s="2088"/>
      <c r="E950" s="2088"/>
      <c r="F950" s="2088"/>
    </row>
    <row r="951" spans="1:9" ht="14.25" customHeight="1">
      <c r="A951" s="355"/>
      <c r="B951" s="355"/>
      <c r="C951" s="322"/>
      <c r="D951" s="6"/>
      <c r="E951" s="296"/>
      <c r="F951" s="296"/>
      <c r="G951" s="572"/>
      <c r="H951" s="404"/>
      <c r="I951" s="404"/>
    </row>
    <row r="952" spans="1:9" ht="14.25" customHeight="1">
      <c r="A952" s="415"/>
      <c r="B952" s="415"/>
      <c r="C952" s="299"/>
      <c r="D952" s="2100" t="s">
        <v>1848</v>
      </c>
      <c r="E952" s="2100"/>
      <c r="F952" s="2100"/>
      <c r="G952" s="572"/>
      <c r="H952" s="404"/>
      <c r="I952" s="404"/>
    </row>
    <row r="953" spans="1:9" ht="14.25" customHeight="1">
      <c r="A953" s="415"/>
      <c r="B953" s="415"/>
      <c r="C953" s="299"/>
      <c r="D953" s="1016"/>
      <c r="E953" s="282"/>
      <c r="F953" s="296"/>
      <c r="G953" s="572"/>
      <c r="H953" s="404"/>
      <c r="I953" s="404"/>
    </row>
    <row r="954" spans="1:9" ht="14.4" customHeight="1">
      <c r="A954" s="413"/>
      <c r="B954" s="950" t="s">
        <v>1533</v>
      </c>
      <c r="C954" s="322"/>
      <c r="D954" s="2099" t="s">
        <v>1847</v>
      </c>
      <c r="E954" s="2099"/>
      <c r="F954" s="2099"/>
      <c r="G954" s="572"/>
      <c r="H954" s="404"/>
      <c r="I954" s="404"/>
    </row>
    <row r="955" spans="1:9" ht="13.2">
      <c r="A955" s="355"/>
      <c r="B955" s="355"/>
      <c r="C955" s="322"/>
      <c r="D955" s="2099"/>
      <c r="E955" s="2099"/>
      <c r="F955" s="2099"/>
      <c r="G955" s="572"/>
      <c r="H955" s="404"/>
      <c r="I955" s="404"/>
    </row>
    <row r="956" spans="1:9" ht="13.2">
      <c r="A956" s="355"/>
      <c r="B956" s="355"/>
      <c r="C956" s="322"/>
      <c r="D956" s="2099"/>
      <c r="E956" s="2099"/>
      <c r="F956" s="2099"/>
      <c r="G956" s="572"/>
      <c r="H956" s="404"/>
      <c r="I956" s="404"/>
    </row>
    <row r="957" spans="1:9" ht="13.2">
      <c r="A957" s="355"/>
      <c r="B957" s="355"/>
      <c r="C957" s="322"/>
      <c r="D957" s="2099"/>
      <c r="E957" s="2099"/>
      <c r="F957" s="2099"/>
      <c r="G957" s="572"/>
      <c r="H957" s="404"/>
      <c r="I957" s="404"/>
    </row>
    <row r="958" spans="1:9" ht="13.2">
      <c r="A958" s="355"/>
      <c r="B958" s="355"/>
      <c r="C958" s="322"/>
      <c r="D958" s="2099"/>
      <c r="E958" s="2099"/>
      <c r="F958" s="2099"/>
      <c r="G958" s="572"/>
      <c r="H958" s="404"/>
      <c r="I958" s="404"/>
    </row>
    <row r="959" spans="1:9" ht="13.2">
      <c r="A959" s="355"/>
      <c r="B959" s="355"/>
      <c r="C959" s="322"/>
      <c r="D959" s="2099"/>
      <c r="E959" s="2099"/>
      <c r="F959" s="2099"/>
      <c r="G959" s="572"/>
      <c r="H959" s="404"/>
      <c r="I959" s="404"/>
    </row>
    <row r="960" spans="1:9" ht="13.2">
      <c r="A960" s="355"/>
      <c r="B960" s="355"/>
      <c r="C960" s="322"/>
      <c r="D960" s="1018"/>
      <c r="E960" s="1018"/>
      <c r="F960" s="1018"/>
      <c r="G960" s="572"/>
      <c r="H960" s="404"/>
      <c r="I960" s="404"/>
    </row>
    <row r="961" spans="1:9" ht="14.4" customHeight="1">
      <c r="A961" s="413"/>
      <c r="B961" s="950" t="s">
        <v>136</v>
      </c>
      <c r="C961" s="322"/>
      <c r="D961" s="2099" t="s">
        <v>1846</v>
      </c>
      <c r="E961" s="2099"/>
      <c r="F961" s="2099"/>
      <c r="G961" s="572"/>
      <c r="H961" s="404"/>
      <c r="I961" s="404"/>
    </row>
    <row r="962" spans="1:9" ht="13.2">
      <c r="A962" s="355"/>
      <c r="B962" s="355"/>
      <c r="C962" s="322"/>
      <c r="D962" s="2099"/>
      <c r="E962" s="2099"/>
      <c r="F962" s="2099"/>
      <c r="G962" s="572"/>
      <c r="H962" s="404"/>
      <c r="I962" s="404"/>
    </row>
    <row r="963" spans="1:9" ht="13.2">
      <c r="A963" s="355"/>
      <c r="B963" s="355"/>
      <c r="C963" s="322"/>
      <c r="D963" s="2099"/>
      <c r="E963" s="2099"/>
      <c r="F963" s="2099"/>
      <c r="G963" s="572"/>
      <c r="H963" s="404"/>
      <c r="I963" s="404"/>
    </row>
    <row r="964" spans="1:9" ht="13.2">
      <c r="A964" s="355"/>
      <c r="B964" s="355"/>
      <c r="C964" s="322"/>
      <c r="D964" s="2099"/>
      <c r="E964" s="2099"/>
      <c r="F964" s="2099"/>
      <c r="G964" s="572"/>
      <c r="H964" s="404"/>
      <c r="I964" s="404"/>
    </row>
    <row r="965" spans="1:9" ht="13.2">
      <c r="A965" s="355"/>
      <c r="B965" s="355"/>
      <c r="C965" s="322"/>
      <c r="D965" s="2099"/>
      <c r="E965" s="2099"/>
      <c r="F965" s="2099"/>
      <c r="G965" s="572"/>
      <c r="H965" s="404"/>
      <c r="I965" s="404"/>
    </row>
    <row r="966" spans="1:9" ht="13.2">
      <c r="A966" s="355"/>
      <c r="B966" s="355"/>
      <c r="C966" s="322"/>
      <c r="D966" s="710"/>
      <c r="E966" s="296"/>
      <c r="F966" s="296"/>
      <c r="G966" s="572"/>
      <c r="H966" s="404"/>
      <c r="I966" s="404"/>
    </row>
    <row r="967" spans="1:9" ht="14.4">
      <c r="A967" s="413"/>
      <c r="B967" s="950" t="s">
        <v>136</v>
      </c>
      <c r="C967" s="322"/>
      <c r="D967" s="2099" t="s">
        <v>1849</v>
      </c>
      <c r="E967" s="2099"/>
      <c r="F967" s="2099"/>
      <c r="G967" s="572"/>
      <c r="H967" s="404"/>
      <c r="I967" s="404"/>
    </row>
    <row r="968" spans="1:9" ht="13.2">
      <c r="A968" s="355"/>
      <c r="B968" s="355"/>
      <c r="C968" s="322"/>
      <c r="D968" s="2099"/>
      <c r="E968" s="2099"/>
      <c r="F968" s="2099"/>
      <c r="G968" s="572"/>
      <c r="H968" s="404"/>
      <c r="I968" s="404"/>
    </row>
    <row r="969" spans="1:9" ht="13.2">
      <c r="A969" s="355"/>
      <c r="B969" s="355"/>
      <c r="C969" s="322"/>
      <c r="D969" s="2099"/>
      <c r="E969" s="2099"/>
      <c r="F969" s="2099"/>
      <c r="G969" s="572"/>
      <c r="H969" s="404"/>
      <c r="I969" s="404"/>
    </row>
    <row r="970" spans="1:9" ht="13.2">
      <c r="A970" s="355"/>
      <c r="B970" s="355"/>
      <c r="C970" s="322"/>
      <c r="D970" s="2099"/>
      <c r="E970" s="2099"/>
      <c r="F970" s="2099"/>
      <c r="G970" s="572"/>
      <c r="H970" s="404"/>
      <c r="I970" s="404"/>
    </row>
    <row r="971" spans="1:9" ht="13.2">
      <c r="A971" s="355"/>
      <c r="B971" s="355"/>
      <c r="C971" s="322"/>
      <c r="D971" s="2099"/>
      <c r="E971" s="2099"/>
      <c r="F971" s="2099"/>
      <c r="G971" s="572"/>
      <c r="H971" s="404"/>
      <c r="I971" s="404"/>
    </row>
    <row r="972" spans="1:9" ht="13.2">
      <c r="A972" s="355"/>
      <c r="B972" s="355"/>
      <c r="C972" s="322"/>
      <c r="D972" s="710"/>
      <c r="E972" s="296"/>
      <c r="F972" s="296"/>
      <c r="G972" s="572"/>
      <c r="H972" s="404"/>
      <c r="I972" s="404"/>
    </row>
    <row r="973" spans="1:9" ht="14.4" customHeight="1">
      <c r="A973" s="413"/>
      <c r="B973" s="1503" t="s">
        <v>136</v>
      </c>
      <c r="C973" s="322"/>
      <c r="D973" s="2099" t="s">
        <v>1850</v>
      </c>
      <c r="E973" s="2099"/>
      <c r="F973" s="2099"/>
      <c r="G973" s="572"/>
      <c r="H973" s="404"/>
      <c r="I973" s="404"/>
    </row>
    <row r="974" spans="1:9" ht="13.2">
      <c r="A974" s="355"/>
      <c r="B974" s="355"/>
      <c r="C974" s="322"/>
      <c r="D974" s="2099"/>
      <c r="E974" s="2099"/>
      <c r="F974" s="2099"/>
      <c r="G974" s="572"/>
      <c r="H974" s="404"/>
      <c r="I974" s="404"/>
    </row>
    <row r="975" spans="1:9" ht="13.2">
      <c r="A975" s="355"/>
      <c r="B975" s="355"/>
      <c r="C975" s="322"/>
      <c r="D975" s="2099"/>
      <c r="E975" s="2099"/>
      <c r="F975" s="2099"/>
      <c r="G975" s="572"/>
      <c r="H975" s="404"/>
      <c r="I975" s="404"/>
    </row>
    <row r="976" spans="1:9" ht="13.2">
      <c r="A976" s="355"/>
      <c r="B976" s="355"/>
      <c r="C976" s="322"/>
      <c r="D976" s="1018"/>
      <c r="E976" s="1018"/>
      <c r="F976" s="1018"/>
      <c r="G976" s="572"/>
      <c r="H976" s="404"/>
      <c r="I976" s="404"/>
    </row>
    <row r="977" spans="1:9" ht="14.4">
      <c r="A977" s="413"/>
      <c r="B977" s="1503" t="s">
        <v>136</v>
      </c>
      <c r="C977" s="322"/>
      <c r="D977" s="2099" t="s">
        <v>1851</v>
      </c>
      <c r="E977" s="2099"/>
      <c r="F977" s="2099"/>
      <c r="G977" s="572"/>
      <c r="H977" s="404"/>
      <c r="I977" s="404"/>
    </row>
    <row r="978" spans="1:9" ht="13.2">
      <c r="A978" s="355"/>
      <c r="B978" s="355"/>
      <c r="C978" s="322"/>
      <c r="D978" s="2099"/>
      <c r="E978" s="2099"/>
      <c r="F978" s="2099"/>
      <c r="G978" s="572"/>
      <c r="H978" s="404"/>
      <c r="I978" s="404"/>
    </row>
    <row r="979" spans="1:9" ht="13.2">
      <c r="A979" s="355"/>
      <c r="B979" s="355"/>
      <c r="C979" s="322"/>
      <c r="D979" s="710"/>
      <c r="E979" s="296"/>
      <c r="F979" s="296"/>
      <c r="G979" s="572"/>
      <c r="H979" s="404"/>
      <c r="I979" s="404"/>
    </row>
    <row r="980" spans="1:9" ht="13.2">
      <c r="A980" s="355"/>
      <c r="B980" s="1503" t="s">
        <v>136</v>
      </c>
      <c r="C980" s="322"/>
      <c r="D980" s="2088" t="s">
        <v>1852</v>
      </c>
      <c r="E980" s="2088"/>
      <c r="F980" s="2088"/>
      <c r="G980" s="572"/>
      <c r="H980" s="404"/>
      <c r="I980" s="404"/>
    </row>
    <row r="981" spans="1:9" ht="13.2">
      <c r="A981" s="355"/>
      <c r="B981" s="355"/>
      <c r="C981" s="322"/>
      <c r="D981" s="2088"/>
      <c r="E981" s="2088"/>
      <c r="F981" s="2088"/>
      <c r="G981" s="572"/>
      <c r="H981" s="404"/>
      <c r="I981" s="404"/>
    </row>
    <row r="982" spans="1:9" ht="13.2">
      <c r="A982" s="355"/>
      <c r="B982" s="355"/>
      <c r="C982" s="322"/>
      <c r="D982" s="296"/>
      <c r="E982" s="296"/>
      <c r="F982" s="296"/>
      <c r="G982" s="572"/>
      <c r="H982" s="404"/>
      <c r="I982" s="404"/>
    </row>
    <row r="983" spans="1:9" ht="13.2">
      <c r="A983" s="355"/>
      <c r="B983" s="950" t="s">
        <v>136</v>
      </c>
      <c r="C983" s="322"/>
      <c r="D983" s="2101" t="s">
        <v>2005</v>
      </c>
      <c r="E983" s="2102"/>
      <c r="F983" s="2102"/>
      <c r="G983" s="572"/>
      <c r="H983" s="404"/>
      <c r="I983" s="404"/>
    </row>
    <row r="984" spans="1:9" ht="13.2">
      <c r="A984" s="355"/>
      <c r="B984" s="355"/>
      <c r="C984" s="322"/>
      <c r="D984" s="2101"/>
      <c r="E984" s="2102"/>
      <c r="F984" s="2102"/>
      <c r="G984" s="572"/>
      <c r="H984" s="404"/>
      <c r="I984" s="404"/>
    </row>
    <row r="985" spans="1:9" ht="13.2">
      <c r="A985" s="355"/>
      <c r="B985" s="355"/>
      <c r="C985" s="322"/>
      <c r="D985" s="2101"/>
      <c r="E985" s="2102"/>
      <c r="F985" s="2102"/>
      <c r="G985" s="572"/>
      <c r="H985" s="404"/>
      <c r="I985" s="404"/>
    </row>
    <row r="986" spans="1:9" ht="13.2">
      <c r="A986" s="355"/>
      <c r="B986" s="355"/>
      <c r="C986" s="322"/>
      <c r="D986" s="2102"/>
      <c r="E986" s="2102"/>
      <c r="F986" s="2102"/>
      <c r="G986" s="572"/>
      <c r="H986" s="404"/>
      <c r="I986" s="404"/>
    </row>
    <row r="987" spans="1:9" ht="13.2">
      <c r="A987" s="355"/>
      <c r="B987" s="355"/>
      <c r="C987" s="322"/>
      <c r="D987" s="287"/>
      <c r="E987" s="296"/>
      <c r="F987" s="296"/>
      <c r="G987" s="572"/>
      <c r="H987" s="404"/>
      <c r="I987" s="404"/>
    </row>
    <row r="988" spans="1:9" ht="13.2">
      <c r="A988" s="355"/>
      <c r="B988" s="1503" t="s">
        <v>136</v>
      </c>
      <c r="C988" s="322"/>
      <c r="D988" s="2089" t="s">
        <v>1236</v>
      </c>
      <c r="E988" s="2089"/>
      <c r="F988" s="2089"/>
      <c r="G988" s="572"/>
      <c r="H988" s="404"/>
      <c r="I988" s="404"/>
    </row>
    <row r="989" spans="1:9" ht="13.2">
      <c r="A989" s="355"/>
      <c r="B989" s="355"/>
      <c r="C989" s="322"/>
      <c r="D989" s="287"/>
      <c r="E989" s="296"/>
      <c r="F989" s="296"/>
      <c r="G989" s="572"/>
      <c r="H989" s="404"/>
      <c r="I989" s="404"/>
    </row>
    <row r="990" spans="1:9" ht="13.2">
      <c r="A990" s="355"/>
      <c r="B990" s="1503" t="s">
        <v>136</v>
      </c>
      <c r="C990" s="322"/>
      <c r="D990" s="2089" t="s">
        <v>1237</v>
      </c>
      <c r="E990" s="2089"/>
      <c r="F990" s="2089"/>
      <c r="G990" s="572"/>
      <c r="H990" s="404"/>
      <c r="I990" s="404"/>
    </row>
    <row r="991" spans="1:9" ht="12.75" customHeight="1">
      <c r="A991" s="355"/>
      <c r="B991" s="355"/>
      <c r="C991" s="322"/>
      <c r="D991" s="296"/>
      <c r="E991" s="296"/>
      <c r="F991" s="296"/>
      <c r="G991" s="572"/>
      <c r="H991" s="404"/>
      <c r="I991" s="404"/>
    </row>
    <row r="992" spans="1:9" ht="13.2">
      <c r="A992" s="355"/>
      <c r="B992" s="14"/>
      <c r="C992" s="322"/>
      <c r="D992" s="2092" t="s">
        <v>1659</v>
      </c>
      <c r="E992" s="2092"/>
      <c r="F992" s="2092"/>
      <c r="G992" s="572"/>
      <c r="H992" s="404"/>
      <c r="I992" s="404"/>
    </row>
    <row r="993" spans="1:9" ht="13.2">
      <c r="A993" s="355"/>
      <c r="B993" s="14"/>
      <c r="C993" s="322"/>
      <c r="D993" s="1016"/>
      <c r="E993" s="296"/>
      <c r="F993" s="296"/>
      <c r="G993" s="572"/>
      <c r="H993" s="404"/>
      <c r="I993" s="404"/>
    </row>
    <row r="994" spans="1:9" ht="14.4">
      <c r="A994" s="413"/>
      <c r="B994" s="950" t="s">
        <v>1533</v>
      </c>
      <c r="C994" s="322"/>
      <c r="D994" s="2093" t="s">
        <v>1853</v>
      </c>
      <c r="E994" s="2093"/>
      <c r="F994" s="2093"/>
      <c r="G994" s="572"/>
      <c r="H994" s="404"/>
      <c r="I994" s="404"/>
    </row>
    <row r="995" spans="1:9" ht="13.2">
      <c r="A995" s="355"/>
      <c r="B995" s="355"/>
      <c r="C995" s="322"/>
      <c r="D995" s="2093"/>
      <c r="E995" s="2093"/>
      <c r="F995" s="2093"/>
      <c r="G995" s="572"/>
      <c r="H995" s="404"/>
      <c r="I995" s="404"/>
    </row>
    <row r="996" spans="1:9" ht="13.2">
      <c r="A996" s="355"/>
      <c r="B996" s="355"/>
      <c r="C996" s="322"/>
      <c r="D996" s="2093"/>
      <c r="E996" s="2093"/>
      <c r="F996" s="2093"/>
      <c r="G996" s="572"/>
      <c r="H996" s="404"/>
      <c r="I996" s="404"/>
    </row>
    <row r="997" spans="1:9" ht="13.2">
      <c r="A997" s="355"/>
      <c r="B997" s="355"/>
      <c r="C997" s="322"/>
      <c r="D997" s="2093"/>
      <c r="E997" s="2093"/>
      <c r="F997" s="2093"/>
      <c r="G997" s="572"/>
      <c r="H997" s="404"/>
      <c r="I997" s="404"/>
    </row>
    <row r="998" spans="1:9" ht="13.2">
      <c r="A998" s="355"/>
      <c r="B998" s="355"/>
      <c r="C998" s="322"/>
      <c r="D998" s="2093"/>
      <c r="E998" s="2093"/>
      <c r="F998" s="2093"/>
      <c r="G998" s="572"/>
      <c r="H998" s="404"/>
      <c r="I998" s="404"/>
    </row>
    <row r="999" spans="1:9" ht="13.2">
      <c r="A999" s="355"/>
      <c r="B999" s="355"/>
      <c r="C999" s="322"/>
      <c r="E999" s="282"/>
      <c r="F999" s="282"/>
      <c r="G999" s="572"/>
      <c r="H999" s="404"/>
      <c r="I999" s="404"/>
    </row>
    <row r="1000" spans="1:9" ht="14.4">
      <c r="A1000" s="413"/>
      <c r="B1000" s="1503" t="s">
        <v>136</v>
      </c>
      <c r="C1000" s="322"/>
      <c r="D1000" s="2093" t="s">
        <v>1854</v>
      </c>
      <c r="E1000" s="2093"/>
      <c r="F1000" s="2093"/>
      <c r="G1000" s="572"/>
      <c r="H1000" s="404"/>
      <c r="I1000" s="404"/>
    </row>
    <row r="1001" spans="1:9" ht="13.2">
      <c r="A1001" s="355"/>
      <c r="B1001" s="355"/>
      <c r="C1001" s="322"/>
      <c r="D1001" s="2093"/>
      <c r="E1001" s="2093"/>
      <c r="F1001" s="2093"/>
      <c r="G1001" s="572"/>
      <c r="H1001" s="404"/>
      <c r="I1001" s="404"/>
    </row>
    <row r="1002" spans="1:9" ht="13.2">
      <c r="A1002" s="355"/>
      <c r="B1002" s="355"/>
      <c r="C1002" s="322"/>
      <c r="D1002" s="2093"/>
      <c r="E1002" s="2093"/>
      <c r="F1002" s="2093"/>
      <c r="G1002" s="572"/>
      <c r="H1002" s="404"/>
      <c r="I1002" s="404"/>
    </row>
    <row r="1003" spans="1:9" ht="13.2">
      <c r="A1003" s="355"/>
      <c r="B1003" s="355"/>
      <c r="C1003" s="322"/>
      <c r="D1003" s="2093"/>
      <c r="E1003" s="2093"/>
      <c r="F1003" s="2093"/>
      <c r="G1003" s="572"/>
      <c r="H1003" s="404"/>
      <c r="I1003" s="404"/>
    </row>
    <row r="1004" spans="1:9" ht="13.2">
      <c r="A1004" s="355"/>
      <c r="B1004" s="355"/>
      <c r="C1004" s="322"/>
      <c r="D1004" s="2093"/>
      <c r="E1004" s="2093"/>
      <c r="F1004" s="2093"/>
      <c r="G1004" s="572"/>
      <c r="H1004" s="404"/>
      <c r="I1004" s="404"/>
    </row>
    <row r="1005" spans="1:9" ht="13.2">
      <c r="A1005" s="355"/>
      <c r="B1005" s="355"/>
      <c r="C1005" s="322"/>
      <c r="D1005" s="296"/>
      <c r="E1005" s="296"/>
      <c r="F1005" s="296"/>
      <c r="G1005" s="572"/>
      <c r="H1005" s="404"/>
      <c r="I1005" s="404"/>
    </row>
    <row r="1006" spans="1:9" ht="13.2">
      <c r="A1006" s="355"/>
      <c r="B1006" s="355"/>
      <c r="C1006" s="322"/>
      <c r="D1006" s="2092" t="s">
        <v>1660</v>
      </c>
      <c r="E1006" s="2092"/>
      <c r="F1006" s="2092"/>
      <c r="G1006" s="572"/>
      <c r="H1006" s="404"/>
      <c r="I1006" s="404"/>
    </row>
    <row r="1007" spans="1:9" ht="13.2">
      <c r="A1007" s="355"/>
      <c r="B1007" s="355"/>
      <c r="C1007" s="322"/>
      <c r="D1007" s="1016"/>
      <c r="E1007" s="296"/>
      <c r="F1007" s="296"/>
      <c r="G1007" s="572"/>
      <c r="H1007" s="404"/>
      <c r="I1007" s="404"/>
    </row>
    <row r="1008" spans="1:9" ht="14.4">
      <c r="A1008" s="413"/>
      <c r="B1008" s="1503" t="s">
        <v>136</v>
      </c>
      <c r="C1008" s="322"/>
      <c r="D1008" s="2093" t="s">
        <v>1860</v>
      </c>
      <c r="E1008" s="2093"/>
      <c r="F1008" s="2093"/>
      <c r="G1008" s="572"/>
      <c r="H1008" s="404"/>
      <c r="I1008" s="404"/>
    </row>
    <row r="1009" spans="1:9" ht="13.2">
      <c r="A1009" s="355"/>
      <c r="B1009" s="355"/>
      <c r="C1009" s="322"/>
      <c r="D1009" s="2093"/>
      <c r="E1009" s="2093"/>
      <c r="F1009" s="2093"/>
      <c r="G1009" s="572"/>
      <c r="H1009" s="404"/>
      <c r="I1009" s="404"/>
    </row>
    <row r="1010" spans="1:9" ht="13.2">
      <c r="A1010" s="355"/>
      <c r="B1010" s="355"/>
      <c r="C1010" s="322"/>
      <c r="D1010" s="2093"/>
      <c r="E1010" s="2093"/>
      <c r="F1010" s="2093"/>
      <c r="G1010" s="572"/>
      <c r="H1010" s="404"/>
      <c r="I1010" s="404"/>
    </row>
    <row r="1011" spans="1:9" ht="13.2">
      <c r="A1011" s="355"/>
      <c r="B1011" s="355"/>
      <c r="C1011" s="322"/>
      <c r="E1011" s="282"/>
      <c r="F1011" s="282"/>
      <c r="G1011" s="572"/>
      <c r="H1011" s="404"/>
      <c r="I1011" s="404"/>
    </row>
    <row r="1012" spans="1:9" ht="14.4">
      <c r="A1012" s="413"/>
      <c r="B1012" s="950" t="s">
        <v>1533</v>
      </c>
      <c r="C1012" s="322"/>
      <c r="D1012" s="2093" t="s">
        <v>1861</v>
      </c>
      <c r="E1012" s="2093"/>
      <c r="F1012" s="2093"/>
      <c r="G1012" s="572"/>
      <c r="H1012" s="404"/>
      <c r="I1012" s="404"/>
    </row>
    <row r="1013" spans="1:9" ht="13.2">
      <c r="A1013" s="355"/>
      <c r="B1013" s="355"/>
      <c r="C1013" s="322"/>
      <c r="D1013" s="2093"/>
      <c r="E1013" s="2093"/>
      <c r="F1013" s="2093"/>
      <c r="G1013" s="572"/>
      <c r="H1013" s="404"/>
      <c r="I1013" s="404"/>
    </row>
    <row r="1014" spans="1:9" ht="13.2">
      <c r="A1014" s="355"/>
      <c r="B1014" s="355"/>
      <c r="C1014" s="322"/>
      <c r="D1014" s="2093"/>
      <c r="E1014" s="2093"/>
      <c r="F1014" s="2093"/>
      <c r="G1014" s="572"/>
      <c r="H1014" s="404"/>
      <c r="I1014" s="404"/>
    </row>
    <row r="1015" spans="1:9" ht="13.2">
      <c r="A1015" s="355"/>
      <c r="B1015" s="355"/>
      <c r="C1015" s="322"/>
      <c r="D1015" s="287"/>
      <c r="E1015" s="296"/>
      <c r="F1015" s="296"/>
      <c r="G1015" s="572"/>
      <c r="H1015" s="404"/>
      <c r="I1015" s="404"/>
    </row>
    <row r="1016" spans="1:9" ht="13.2">
      <c r="A1016" s="355"/>
      <c r="B1016" s="355"/>
      <c r="C1016" s="322"/>
      <c r="D1016" s="2092" t="s">
        <v>1661</v>
      </c>
      <c r="E1016" s="2092"/>
      <c r="F1016" s="2092"/>
      <c r="G1016" s="572"/>
      <c r="H1016" s="404"/>
      <c r="I1016" s="404"/>
    </row>
    <row r="1017" spans="1:9" ht="13.2">
      <c r="A1017" s="355"/>
      <c r="B1017" s="355"/>
      <c r="C1017" s="322"/>
      <c r="D1017" s="1016"/>
      <c r="E1017" s="296"/>
      <c r="F1017" s="296"/>
      <c r="G1017" s="572"/>
      <c r="H1017" s="404"/>
      <c r="I1017" s="404"/>
    </row>
    <row r="1018" spans="1:9" ht="14.25" customHeight="1">
      <c r="A1018" s="413"/>
      <c r="B1018" s="950" t="s">
        <v>1533</v>
      </c>
      <c r="C1018" s="322"/>
      <c r="D1018" s="2097" t="s">
        <v>1863</v>
      </c>
      <c r="E1018" s="2097"/>
      <c r="F1018" s="2097"/>
      <c r="G1018" s="477"/>
      <c r="H1018" s="480"/>
      <c r="I1018" s="480"/>
    </row>
    <row r="1019" spans="1:9" ht="13.2">
      <c r="A1019" s="355"/>
      <c r="B1019" s="355"/>
      <c r="C1019" s="322"/>
      <c r="D1019" s="2097"/>
      <c r="E1019" s="2097"/>
      <c r="F1019" s="2097"/>
      <c r="G1019" s="477"/>
      <c r="H1019" s="480"/>
      <c r="I1019" s="480"/>
    </row>
    <row r="1020" spans="1:9" ht="13.2">
      <c r="A1020" s="355"/>
      <c r="B1020" s="355"/>
      <c r="C1020" s="322"/>
      <c r="D1020" s="2097"/>
      <c r="E1020" s="2097"/>
      <c r="F1020" s="209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2097" t="s">
        <v>1862</v>
      </c>
      <c r="E1022" s="2097"/>
      <c r="F1022" s="2097"/>
      <c r="G1022" s="480"/>
      <c r="H1022" s="404"/>
      <c r="I1022" s="404"/>
    </row>
    <row r="1023" spans="1:9" ht="13.2">
      <c r="A1023" s="355"/>
      <c r="B1023" s="355"/>
      <c r="C1023" s="322"/>
      <c r="D1023" s="2097"/>
      <c r="E1023" s="2097"/>
      <c r="F1023" s="2097"/>
      <c r="G1023" s="480"/>
      <c r="H1023" s="404"/>
      <c r="I1023" s="404"/>
    </row>
    <row r="1024" spans="1:9" ht="13.2">
      <c r="A1024" s="355"/>
      <c r="B1024" s="355"/>
      <c r="C1024" s="322"/>
      <c r="D1024" s="2097"/>
      <c r="E1024" s="2097"/>
      <c r="F1024" s="2097"/>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3" t="s">
        <v>136</v>
      </c>
      <c r="C1026" s="322"/>
      <c r="D1026" s="2098" t="s">
        <v>1864</v>
      </c>
      <c r="E1026" s="2098"/>
      <c r="F1026" s="2098"/>
      <c r="G1026" s="564"/>
      <c r="H1026" s="404"/>
      <c r="I1026" s="404"/>
    </row>
    <row r="1027" spans="1:9" ht="13.2">
      <c r="A1027" s="355"/>
      <c r="B1027" s="355"/>
      <c r="C1027" s="322"/>
      <c r="D1027" s="2098"/>
      <c r="E1027" s="2098"/>
      <c r="F1027" s="2098"/>
      <c r="G1027" s="564"/>
      <c r="H1027" s="404"/>
      <c r="I1027" s="404"/>
    </row>
    <row r="1028" spans="1:9" ht="13.2">
      <c r="A1028" s="355"/>
      <c r="B1028" s="355"/>
      <c r="C1028" s="322"/>
      <c r="D1028" s="2098"/>
      <c r="E1028" s="2098"/>
      <c r="F1028" s="2098"/>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3" t="s">
        <v>136</v>
      </c>
      <c r="C1030" s="322"/>
      <c r="D1030" s="2097" t="s">
        <v>1865</v>
      </c>
      <c r="E1030" s="2097"/>
      <c r="F1030" s="2097"/>
      <c r="G1030" s="564"/>
      <c r="H1030" s="564"/>
      <c r="I1030" s="564"/>
    </row>
    <row r="1031" spans="1:9" ht="13.2">
      <c r="A1031" s="355"/>
      <c r="B1031" s="355"/>
      <c r="C1031" s="322"/>
      <c r="D1031" s="2097"/>
      <c r="E1031" s="2097"/>
      <c r="F1031" s="2097"/>
      <c r="G1031" s="564"/>
      <c r="H1031" s="564"/>
      <c r="I1031" s="564"/>
    </row>
    <row r="1032" spans="1:9" ht="13.2">
      <c r="A1032" s="355"/>
      <c r="B1032" s="355"/>
      <c r="C1032" s="322"/>
      <c r="D1032" s="2097"/>
      <c r="E1032" s="2097"/>
      <c r="F1032" s="2097"/>
      <c r="G1032" s="564"/>
      <c r="H1032" s="564"/>
      <c r="I1032" s="564"/>
    </row>
    <row r="1033" spans="1:9" ht="14.4">
      <c r="A1033" s="413"/>
      <c r="B1033" s="413"/>
      <c r="C1033" s="322"/>
      <c r="D1033" s="287"/>
      <c r="E1033" s="296"/>
      <c r="F1033" s="296"/>
      <c r="G1033" s="572"/>
      <c r="H1033" s="404"/>
      <c r="I1033" s="404"/>
    </row>
    <row r="1034" spans="1:9" ht="12.75" customHeight="1">
      <c r="A1034" s="355"/>
      <c r="B1034" s="1503" t="s">
        <v>136</v>
      </c>
      <c r="C1034" s="322"/>
      <c r="D1034" s="2097" t="s">
        <v>1866</v>
      </c>
      <c r="E1034" s="2097"/>
      <c r="F1034" s="2097"/>
      <c r="G1034" s="564"/>
      <c r="H1034" s="564"/>
      <c r="I1034" s="564"/>
    </row>
    <row r="1035" spans="1:9" ht="13.2">
      <c r="A1035" s="355"/>
      <c r="B1035" s="355"/>
      <c r="C1035" s="322"/>
      <c r="D1035" s="2097"/>
      <c r="E1035" s="2097"/>
      <c r="F1035" s="2097"/>
      <c r="G1035" s="564"/>
      <c r="H1035" s="564"/>
      <c r="I1035" s="564"/>
    </row>
    <row r="1036" spans="1:9" ht="13.2">
      <c r="A1036" s="355"/>
      <c r="B1036" s="355"/>
      <c r="C1036" s="322"/>
      <c r="D1036" s="2097"/>
      <c r="E1036" s="2097"/>
      <c r="F1036" s="2097"/>
      <c r="G1036" s="564"/>
      <c r="H1036" s="564"/>
      <c r="I1036" s="564"/>
    </row>
    <row r="1037" spans="1:9" ht="13.2">
      <c r="A1037" s="355"/>
      <c r="B1037" s="355"/>
      <c r="C1037" s="322"/>
      <c r="D1037" s="287"/>
      <c r="E1037" s="296"/>
      <c r="F1037" s="296"/>
      <c r="G1037" s="572"/>
      <c r="H1037" s="404"/>
      <c r="I1037" s="404"/>
    </row>
    <row r="1038" spans="1:9" ht="12.75" customHeight="1">
      <c r="A1038" s="355"/>
      <c r="B1038" s="1503" t="s">
        <v>136</v>
      </c>
      <c r="C1038" s="322"/>
      <c r="D1038" s="2097" t="s">
        <v>1662</v>
      </c>
      <c r="E1038" s="2097"/>
      <c r="F1038" s="2097"/>
      <c r="G1038" s="477"/>
      <c r="H1038" s="404"/>
      <c r="I1038" s="404"/>
    </row>
    <row r="1039" spans="1:9" ht="13.2">
      <c r="A1039" s="355"/>
      <c r="B1039" s="355"/>
      <c r="C1039" s="322"/>
      <c r="D1039" s="2097"/>
      <c r="E1039" s="2097"/>
      <c r="F1039" s="2097"/>
      <c r="G1039" s="477"/>
      <c r="H1039" s="404"/>
      <c r="I1039" s="404"/>
    </row>
    <row r="1040" spans="1:9" ht="13.2">
      <c r="A1040" s="355"/>
      <c r="B1040" s="355"/>
      <c r="C1040" s="322"/>
      <c r="D1040" s="2097"/>
      <c r="E1040" s="2097"/>
      <c r="F1040" s="2097"/>
      <c r="G1040" s="477"/>
      <c r="H1040" s="404"/>
      <c r="I1040" s="404"/>
    </row>
    <row r="1041" spans="1:9" ht="13.2">
      <c r="A1041" s="355"/>
      <c r="B1041" s="355"/>
      <c r="C1041" s="322"/>
      <c r="D1041" s="477"/>
      <c r="E1041" s="477"/>
      <c r="F1041" s="477"/>
      <c r="G1041" s="477"/>
      <c r="H1041" s="404"/>
      <c r="I1041" s="404"/>
    </row>
    <row r="1042" spans="1:9" ht="12.75" customHeight="1">
      <c r="A1042" s="355"/>
      <c r="B1042" s="1503" t="s">
        <v>136</v>
      </c>
      <c r="C1042" s="322"/>
      <c r="D1042" s="2097" t="s">
        <v>1663</v>
      </c>
      <c r="E1042" s="2097"/>
      <c r="F1042" s="2097"/>
      <c r="G1042" s="477"/>
      <c r="H1042" s="404"/>
      <c r="I1042" s="404"/>
    </row>
    <row r="1043" spans="1:9" ht="13.2">
      <c r="A1043" s="355"/>
      <c r="B1043" s="355"/>
      <c r="C1043" s="322"/>
      <c r="D1043" s="2097"/>
      <c r="E1043" s="2097"/>
      <c r="F1043" s="2097"/>
      <c r="G1043" s="477"/>
      <c r="H1043" s="404"/>
      <c r="I1043" s="404"/>
    </row>
    <row r="1044" spans="1:9" ht="13.2">
      <c r="A1044" s="355"/>
      <c r="B1044" s="355"/>
      <c r="C1044" s="322"/>
      <c r="D1044" s="2097"/>
      <c r="E1044" s="2097"/>
      <c r="F1044" s="2097"/>
      <c r="G1044" s="477"/>
      <c r="H1044" s="404"/>
      <c r="I1044" s="404"/>
    </row>
    <row r="1045" spans="1:9" ht="13.2">
      <c r="A1045" s="355"/>
      <c r="B1045" s="355"/>
      <c r="C1045" s="322"/>
      <c r="D1045" s="483"/>
      <c r="E1045" s="483"/>
      <c r="F1045" s="483"/>
      <c r="G1045" s="510"/>
      <c r="H1045" s="404"/>
      <c r="I1045" s="404"/>
    </row>
    <row r="1046" spans="1:9" ht="12.75" customHeight="1">
      <c r="A1046" s="579"/>
      <c r="B1046" s="1503" t="s">
        <v>1533</v>
      </c>
      <c r="C1046" s="405"/>
      <c r="D1046" s="2158" t="s">
        <v>1247</v>
      </c>
      <c r="E1046" s="2158"/>
      <c r="F1046" s="2158"/>
      <c r="G1046" s="948"/>
      <c r="H1046" s="404"/>
      <c r="I1046" s="404"/>
    </row>
    <row r="1047" spans="1:9" ht="13.2">
      <c r="A1047" s="579"/>
      <c r="B1047" s="579"/>
      <c r="C1047" s="405"/>
      <c r="D1047" s="2158"/>
      <c r="E1047" s="2158"/>
      <c r="F1047" s="2158"/>
      <c r="G1047" s="948"/>
      <c r="H1047" s="404"/>
      <c r="I1047" s="404"/>
    </row>
    <row r="1048" spans="1:9" ht="13.2">
      <c r="A1048" s="579"/>
      <c r="B1048" s="579"/>
      <c r="C1048" s="405"/>
      <c r="D1048" s="2158"/>
      <c r="E1048" s="2158"/>
      <c r="F1048" s="2158"/>
      <c r="G1048" s="948"/>
      <c r="H1048" s="404"/>
      <c r="I1048" s="404"/>
    </row>
    <row r="1049" spans="1:9" ht="13.2">
      <c r="A1049" s="579"/>
      <c r="B1049" s="579"/>
      <c r="C1049" s="405"/>
      <c r="D1049" s="2158"/>
      <c r="E1049" s="2158"/>
      <c r="F1049" s="2158"/>
      <c r="G1049" s="948"/>
      <c r="H1049" s="404"/>
      <c r="I1049" s="404"/>
    </row>
    <row r="1050" spans="1:9" ht="13.2">
      <c r="A1050" s="579"/>
      <c r="B1050" s="579"/>
      <c r="C1050" s="405"/>
      <c r="D1050" s="2158"/>
      <c r="E1050" s="2158"/>
      <c r="F1050" s="2158"/>
      <c r="G1050" s="948"/>
      <c r="H1050" s="404"/>
      <c r="I1050" s="404"/>
    </row>
    <row r="1051" spans="1:9" ht="13.2">
      <c r="A1051" s="579"/>
      <c r="B1051" s="579"/>
      <c r="C1051" s="405"/>
      <c r="D1051" s="2158"/>
      <c r="E1051" s="2158"/>
      <c r="F1051" s="2158"/>
      <c r="G1051" s="948"/>
      <c r="H1051" s="404"/>
      <c r="I1051" s="404"/>
    </row>
    <row r="1052" spans="1:9" ht="13.2">
      <c r="A1052" s="579"/>
      <c r="B1052" s="579"/>
      <c r="C1052" s="405"/>
      <c r="D1052" s="2158"/>
      <c r="E1052" s="2158"/>
      <c r="F1052" s="2158"/>
      <c r="G1052" s="948"/>
      <c r="H1052" s="404"/>
      <c r="I1052" s="404"/>
    </row>
    <row r="1053" spans="1:9" ht="13.2">
      <c r="A1053" s="579"/>
      <c r="B1053" s="579"/>
      <c r="C1053" s="405"/>
      <c r="D1053" s="2158"/>
      <c r="E1053" s="2158"/>
      <c r="F1053" s="2158"/>
      <c r="G1053" s="948"/>
      <c r="H1053" s="404"/>
      <c r="I1053" s="404"/>
    </row>
    <row r="1054" spans="1:9" ht="13.2">
      <c r="A1054" s="579"/>
      <c r="B1054" s="579"/>
      <c r="C1054" s="405"/>
      <c r="D1054" s="2158"/>
      <c r="E1054" s="2158"/>
      <c r="F1054" s="2158"/>
      <c r="G1054" s="948"/>
      <c r="H1054" s="404"/>
      <c r="I1054" s="404"/>
    </row>
    <row r="1055" spans="1:9" ht="13.2">
      <c r="A1055" s="579"/>
      <c r="B1055" s="579"/>
      <c r="C1055" s="405"/>
      <c r="D1055" s="2158"/>
      <c r="E1055" s="2158"/>
      <c r="F1055" s="2158"/>
      <c r="G1055" s="948"/>
      <c r="H1055" s="404"/>
      <c r="I1055" s="404"/>
    </row>
    <row r="1056" spans="1:9" ht="27.6" customHeight="1">
      <c r="A1056" s="579"/>
      <c r="B1056" s="579"/>
      <c r="C1056" s="405"/>
      <c r="D1056" s="2158"/>
      <c r="E1056" s="2158"/>
      <c r="F1056" s="2158"/>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2092" t="s">
        <v>1664</v>
      </c>
      <c r="E1058" s="2092"/>
      <c r="F1058" s="2092"/>
      <c r="G1058" s="664"/>
      <c r="H1058" s="404"/>
      <c r="I1058" s="404"/>
    </row>
    <row r="1059" spans="1:9" ht="12.75" customHeight="1">
      <c r="A1059" s="355"/>
      <c r="B1059" s="355"/>
      <c r="C1059" s="322"/>
      <c r="D1059" s="1016"/>
      <c r="E1059" s="1013"/>
      <c r="F1059" s="1013"/>
      <c r="G1059" s="664"/>
      <c r="H1059" s="404"/>
      <c r="I1059" s="404"/>
    </row>
    <row r="1060" spans="1:9" ht="14.4">
      <c r="A1060" s="413"/>
      <c r="B1060" s="950" t="s">
        <v>1533</v>
      </c>
      <c r="C1060" s="322"/>
      <c r="D1060" s="2088" t="s">
        <v>1867</v>
      </c>
      <c r="E1060" s="2088"/>
      <c r="F1060" s="2088"/>
      <c r="G1060" s="572"/>
      <c r="H1060" s="404"/>
      <c r="I1060" s="404"/>
    </row>
    <row r="1061" spans="1:9" ht="13.2">
      <c r="A1061" s="355"/>
      <c r="B1061" s="355"/>
      <c r="C1061" s="322"/>
      <c r="D1061" s="2088"/>
      <c r="E1061" s="2088"/>
      <c r="F1061" s="2088"/>
      <c r="G1061" s="572"/>
      <c r="H1061" s="404"/>
      <c r="I1061" s="404"/>
    </row>
    <row r="1062" spans="1:9" ht="13.2">
      <c r="A1062" s="355"/>
      <c r="B1062" s="355"/>
      <c r="C1062" s="322"/>
      <c r="D1062" s="2088"/>
      <c r="E1062" s="2088"/>
      <c r="F1062" s="2088"/>
      <c r="G1062" s="572"/>
      <c r="H1062" s="404"/>
      <c r="I1062" s="404"/>
    </row>
    <row r="1063" spans="1:9" ht="13.2">
      <c r="A1063" s="355"/>
      <c r="B1063" s="355"/>
      <c r="C1063" s="322"/>
      <c r="D1063" s="2088"/>
      <c r="E1063" s="2088"/>
      <c r="F1063" s="2088"/>
      <c r="G1063" s="572"/>
      <c r="H1063" s="404"/>
      <c r="I1063" s="404"/>
    </row>
    <row r="1064" spans="1:9" ht="13.2">
      <c r="A1064" s="355"/>
      <c r="B1064" s="355"/>
      <c r="C1064" s="322"/>
      <c r="D1064" s="296"/>
      <c r="E1064" s="296"/>
      <c r="F1064" s="296"/>
      <c r="G1064" s="572"/>
      <c r="H1064" s="404"/>
      <c r="I1064" s="404"/>
    </row>
    <row r="1065" spans="1:9" ht="14.4">
      <c r="A1065" s="413"/>
      <c r="B1065" s="1503" t="s">
        <v>136</v>
      </c>
      <c r="C1065" s="322"/>
      <c r="D1065" s="2088" t="s">
        <v>1868</v>
      </c>
      <c r="E1065" s="2088"/>
      <c r="F1065" s="2088"/>
      <c r="G1065" s="572"/>
      <c r="H1065" s="404"/>
      <c r="I1065" s="404"/>
    </row>
    <row r="1066" spans="1:9" ht="13.2">
      <c r="A1066" s="355"/>
      <c r="B1066" s="355"/>
      <c r="C1066" s="322"/>
      <c r="D1066" s="2088"/>
      <c r="E1066" s="2088"/>
      <c r="F1066" s="2088"/>
      <c r="G1066" s="572"/>
      <c r="H1066" s="404"/>
      <c r="I1066" s="404"/>
    </row>
    <row r="1067" spans="1:9" ht="13.2">
      <c r="A1067" s="355"/>
      <c r="B1067" s="355"/>
      <c r="C1067" s="322"/>
      <c r="D1067" s="2088"/>
      <c r="E1067" s="2088"/>
      <c r="F1067" s="2088"/>
      <c r="G1067" s="572"/>
      <c r="H1067" s="404"/>
      <c r="I1067" s="404"/>
    </row>
    <row r="1068" spans="1:9" ht="13.2">
      <c r="A1068" s="355"/>
      <c r="B1068" s="355"/>
      <c r="C1068" s="322"/>
      <c r="D1068" s="2088"/>
      <c r="E1068" s="2088"/>
      <c r="F1068" s="2088"/>
      <c r="G1068" s="572"/>
      <c r="H1068" s="404"/>
      <c r="I1068" s="404"/>
    </row>
    <row r="1069" spans="1:9" ht="13.2">
      <c r="A1069" s="355"/>
      <c r="B1069" s="355"/>
      <c r="C1069" s="322"/>
      <c r="D1069" s="296"/>
      <c r="E1069" s="296"/>
      <c r="F1069" s="296"/>
      <c r="G1069" s="572"/>
    </row>
    <row r="1070" spans="1:9" ht="13.2">
      <c r="A1070" s="355"/>
      <c r="B1070" s="1503" t="s">
        <v>136</v>
      </c>
      <c r="C1070" s="322"/>
      <c r="D1070" s="2146" t="s">
        <v>1869</v>
      </c>
      <c r="E1070" s="2146"/>
      <c r="F1070" s="2146"/>
      <c r="G1070" s="572"/>
    </row>
    <row r="1071" spans="1:9" ht="13.2">
      <c r="A1071" s="355"/>
      <c r="B1071" s="355"/>
      <c r="C1071" s="322"/>
      <c r="D1071" s="2146"/>
      <c r="E1071" s="2146"/>
      <c r="F1071" s="2146"/>
      <c r="G1071" s="572"/>
    </row>
    <row r="1072" spans="1:9" ht="13.2">
      <c r="A1072" s="355"/>
      <c r="B1072" s="355"/>
      <c r="C1072" s="322"/>
      <c r="D1072" s="2146"/>
      <c r="E1072" s="2146"/>
      <c r="F1072" s="2146"/>
      <c r="G1072" s="572"/>
    </row>
    <row r="1073" spans="1:7" ht="13.2">
      <c r="A1073" s="355"/>
      <c r="B1073" s="355"/>
      <c r="C1073" s="322"/>
      <c r="D1073" s="296"/>
      <c r="E1073" s="296"/>
      <c r="F1073" s="296"/>
      <c r="G1073" s="572"/>
    </row>
    <row r="1074" spans="1:7" ht="14.4">
      <c r="A1074" s="413"/>
      <c r="B1074" s="1503" t="s">
        <v>136</v>
      </c>
      <c r="C1074" s="680"/>
      <c r="D1074" s="2147" t="s">
        <v>1870</v>
      </c>
      <c r="E1074" s="2147"/>
      <c r="F1074" s="2147"/>
      <c r="G1074" s="712"/>
    </row>
    <row r="1075" spans="1:7" ht="13.2">
      <c r="A1075" s="679"/>
      <c r="B1075" s="679"/>
      <c r="C1075" s="680"/>
      <c r="D1075" s="2147"/>
      <c r="E1075" s="2147"/>
      <c r="F1075" s="2147"/>
      <c r="G1075" s="712"/>
    </row>
    <row r="1076" spans="1:7" ht="13.2">
      <c r="A1076" s="679"/>
      <c r="B1076" s="679"/>
      <c r="C1076" s="680"/>
      <c r="D1076" s="2147"/>
      <c r="E1076" s="2147"/>
      <c r="F1076" s="2147"/>
      <c r="G1076" s="712"/>
    </row>
    <row r="1077" spans="1:7" ht="13.2">
      <c r="A1077" s="355"/>
      <c r="B1077" s="355"/>
      <c r="C1077" s="322"/>
      <c r="D1077" s="296"/>
      <c r="E1077" s="296"/>
      <c r="F1077" s="296"/>
      <c r="G1077" s="572"/>
    </row>
    <row r="1078" spans="1:7" ht="13.2">
      <c r="A1078" s="14"/>
      <c r="B1078" s="14"/>
      <c r="C1078" s="322"/>
      <c r="D1078" s="2092" t="s">
        <v>1665</v>
      </c>
      <c r="E1078" s="2092"/>
      <c r="F1078" s="2092"/>
      <c r="G1078" s="572"/>
    </row>
    <row r="1079" spans="1:7" ht="13.2">
      <c r="A1079" s="14"/>
      <c r="B1079" s="14"/>
      <c r="C1079" s="322"/>
      <c r="D1079" s="1016"/>
      <c r="E1079" s="296"/>
      <c r="F1079" s="296"/>
      <c r="G1079" s="572"/>
    </row>
    <row r="1080" spans="1:7" ht="13.2">
      <c r="A1080" s="355"/>
      <c r="B1080" s="950" t="s">
        <v>136</v>
      </c>
      <c r="C1080" s="322"/>
      <c r="D1080" s="2093" t="s">
        <v>1871</v>
      </c>
      <c r="E1080" s="2093"/>
      <c r="F1080" s="2093"/>
      <c r="G1080" s="572"/>
    </row>
    <row r="1081" spans="1:7" ht="13.2">
      <c r="A1081" s="355"/>
      <c r="B1081" s="355"/>
      <c r="C1081" s="322"/>
      <c r="D1081" s="2093"/>
      <c r="E1081" s="2093"/>
      <c r="F1081" s="2093"/>
      <c r="G1081" s="572"/>
    </row>
    <row r="1082" spans="1:7" ht="13.2">
      <c r="A1082" s="355"/>
      <c r="B1082" s="355"/>
      <c r="C1082" s="322"/>
      <c r="D1082" s="2093"/>
      <c r="E1082" s="2093"/>
      <c r="F1082" s="2093"/>
      <c r="G1082" s="572"/>
    </row>
    <row r="1083" spans="1:7" ht="13.2">
      <c r="A1083" s="355"/>
      <c r="B1083" s="355"/>
      <c r="C1083" s="322"/>
      <c r="D1083" s="572"/>
      <c r="E1083" s="296"/>
      <c r="F1083" s="296"/>
      <c r="G1083" s="572"/>
    </row>
    <row r="1084" spans="1:7" ht="14.4">
      <c r="A1084" s="413"/>
      <c r="B1084" s="950" t="s">
        <v>136</v>
      </c>
      <c r="C1084" s="322"/>
      <c r="D1084" s="2093" t="s">
        <v>1872</v>
      </c>
      <c r="E1084" s="2093"/>
      <c r="F1084" s="2093"/>
      <c r="G1084" s="572"/>
    </row>
    <row r="1085" spans="1:7" ht="13.2">
      <c r="A1085" s="355"/>
      <c r="B1085" s="355"/>
      <c r="C1085" s="322"/>
      <c r="D1085" s="2093"/>
      <c r="E1085" s="2093"/>
      <c r="F1085" s="2093"/>
      <c r="G1085" s="572"/>
    </row>
    <row r="1086" spans="1:7" ht="13.2">
      <c r="A1086" s="355"/>
      <c r="B1086" s="355"/>
      <c r="C1086" s="322"/>
      <c r="D1086" s="2093"/>
      <c r="E1086" s="2093"/>
      <c r="F1086" s="2093"/>
      <c r="G1086" s="572"/>
    </row>
    <row r="1087" spans="1:7" ht="13.2">
      <c r="A1087" s="355"/>
      <c r="B1087" s="355"/>
      <c r="C1087" s="322"/>
      <c r="D1087" s="296"/>
      <c r="E1087" s="296"/>
      <c r="F1087" s="296"/>
      <c r="G1087" s="572"/>
    </row>
    <row r="1088" spans="1:7" ht="13.2">
      <c r="A1088" s="355"/>
      <c r="B1088" s="355"/>
      <c r="C1088" s="322"/>
      <c r="D1088" s="2092" t="s">
        <v>1238</v>
      </c>
      <c r="E1088" s="2092"/>
      <c r="F1088" s="2092"/>
      <c r="G1088" s="572"/>
    </row>
    <row r="1089" spans="1:7" ht="13.2">
      <c r="A1089" s="355"/>
      <c r="B1089" s="355"/>
      <c r="C1089" s="322"/>
      <c r="D1089" s="2089" t="s">
        <v>1666</v>
      </c>
      <c r="E1089" s="2089"/>
      <c r="F1089" s="2089"/>
      <c r="G1089" s="572"/>
    </row>
    <row r="1090" spans="1:7" ht="13.2">
      <c r="A1090" s="355"/>
      <c r="B1090" s="355"/>
      <c r="C1090" s="322"/>
      <c r="D1090" s="1017"/>
      <c r="E1090" s="296"/>
      <c r="F1090" s="296"/>
      <c r="G1090" s="572"/>
    </row>
    <row r="1091" spans="1:7" ht="14.4">
      <c r="A1091" s="413"/>
      <c r="B1091" s="950" t="s">
        <v>136</v>
      </c>
      <c r="C1091" s="322"/>
      <c r="D1091" s="2088" t="s">
        <v>1873</v>
      </c>
      <c r="E1091" s="2088"/>
      <c r="F1091" s="2088"/>
      <c r="G1091" s="572"/>
    </row>
    <row r="1092" spans="1:7" ht="13.2">
      <c r="A1092" s="355"/>
      <c r="B1092" s="355"/>
      <c r="C1092" s="322"/>
      <c r="D1092" s="2088"/>
      <c r="E1092" s="2088"/>
      <c r="F1092" s="2088"/>
      <c r="G1092" s="572"/>
    </row>
    <row r="1093" spans="1:7" ht="13.2">
      <c r="A1093" s="355"/>
      <c r="B1093" s="355"/>
      <c r="C1093" s="322"/>
      <c r="D1093" s="296"/>
      <c r="E1093" s="296"/>
      <c r="F1093" s="296"/>
      <c r="G1093" s="572"/>
    </row>
    <row r="1094" spans="1:7" ht="14.4">
      <c r="A1094" s="413"/>
      <c r="B1094" s="950" t="s">
        <v>136</v>
      </c>
      <c r="C1094" s="322"/>
      <c r="D1094" s="2088" t="s">
        <v>1874</v>
      </c>
      <c r="E1094" s="2088"/>
      <c r="F1094" s="2088"/>
      <c r="G1094" s="572"/>
    </row>
    <row r="1095" spans="1:7" ht="13.2">
      <c r="A1095" s="355"/>
      <c r="B1095" s="355"/>
      <c r="C1095" s="322"/>
      <c r="D1095" s="2088"/>
      <c r="E1095" s="2088"/>
      <c r="F1095" s="2088"/>
      <c r="G1095" s="572"/>
    </row>
    <row r="1096" spans="1:7" ht="13.2">
      <c r="A1096" s="355"/>
      <c r="B1096" s="355"/>
      <c r="C1096" s="322"/>
      <c r="D1096" s="282"/>
      <c r="E1096" s="296"/>
      <c r="F1096" s="296"/>
      <c r="G1096" s="572"/>
    </row>
    <row r="1097" spans="1:7" ht="13.2">
      <c r="A1097" s="355"/>
      <c r="B1097" s="355"/>
      <c r="C1097" s="322"/>
      <c r="D1097" s="2092" t="s">
        <v>1667</v>
      </c>
      <c r="E1097" s="2092"/>
      <c r="F1097" s="2092"/>
      <c r="G1097" s="572"/>
    </row>
    <row r="1098" spans="1:7" ht="13.2">
      <c r="A1098" s="355"/>
      <c r="B1098" s="355"/>
      <c r="C1098" s="322"/>
      <c r="D1098" s="1016"/>
      <c r="E1098" s="296"/>
      <c r="F1098" s="296"/>
      <c r="G1098" s="572"/>
    </row>
    <row r="1099" spans="1:7" ht="14.4">
      <c r="A1099" s="413"/>
      <c r="B1099" s="950" t="s">
        <v>1533</v>
      </c>
      <c r="C1099" s="322"/>
      <c r="D1099" s="2088" t="s">
        <v>1875</v>
      </c>
      <c r="E1099" s="2088"/>
      <c r="F1099" s="2088"/>
      <c r="G1099" s="572"/>
    </row>
    <row r="1100" spans="1:7" ht="13.2">
      <c r="A1100" s="355"/>
      <c r="B1100" s="355"/>
      <c r="C1100" s="322"/>
      <c r="D1100" s="2088"/>
      <c r="E1100" s="2088"/>
      <c r="F1100" s="2088"/>
      <c r="G1100" s="572"/>
    </row>
    <row r="1101" spans="1:7" ht="13.2">
      <c r="A1101" s="355"/>
      <c r="B1101" s="355"/>
      <c r="C1101" s="322"/>
      <c r="D1101" s="2088"/>
      <c r="E1101" s="2088"/>
      <c r="F1101" s="2088"/>
      <c r="G1101" s="572"/>
    </row>
    <row r="1102" spans="1:7" ht="13.2">
      <c r="A1102" s="355"/>
      <c r="B1102" s="355"/>
      <c r="C1102" s="322"/>
      <c r="D1102" s="2088"/>
      <c r="E1102" s="2088"/>
      <c r="F1102" s="2088"/>
      <c r="G1102" s="572"/>
    </row>
    <row r="1103" spans="1:7" ht="13.2">
      <c r="A1103" s="355"/>
      <c r="B1103" s="355"/>
      <c r="C1103" s="322"/>
      <c r="D1103" s="2088"/>
      <c r="E1103" s="2088"/>
      <c r="F1103" s="2088"/>
      <c r="G1103" s="572"/>
    </row>
    <row r="1104" spans="1:7" ht="13.2">
      <c r="A1104" s="355"/>
      <c r="B1104" s="355"/>
      <c r="C1104" s="322"/>
      <c r="D1104" s="2088"/>
      <c r="E1104" s="2088"/>
      <c r="F1104" s="2088"/>
      <c r="G1104" s="572"/>
    </row>
    <row r="1105" spans="1:7" ht="13.2">
      <c r="A1105" s="355"/>
      <c r="B1105" s="355"/>
      <c r="C1105" s="322"/>
      <c r="D1105" s="2088"/>
      <c r="E1105" s="2088"/>
      <c r="F1105" s="2088"/>
      <c r="G1105" s="572"/>
    </row>
    <row r="1106" spans="1:7" ht="13.2">
      <c r="A1106" s="355"/>
      <c r="B1106" s="355"/>
      <c r="C1106" s="322"/>
      <c r="D1106" s="296"/>
      <c r="E1106" s="296"/>
      <c r="F1106" s="296"/>
      <c r="G1106" s="572"/>
    </row>
    <row r="1107" spans="1:7" ht="14.4">
      <c r="A1107" s="413"/>
      <c r="B1107" s="1503" t="s">
        <v>136</v>
      </c>
      <c r="C1107" s="322"/>
      <c r="D1107" s="2088" t="s">
        <v>1876</v>
      </c>
      <c r="E1107" s="2088"/>
      <c r="F1107" s="2088"/>
      <c r="G1107" s="572"/>
    </row>
    <row r="1108" spans="1:7" ht="13.2">
      <c r="A1108" s="355"/>
      <c r="B1108" s="355"/>
      <c r="C1108" s="322"/>
      <c r="D1108" s="2088"/>
      <c r="E1108" s="2088"/>
      <c r="F1108" s="2088"/>
      <c r="G1108" s="572"/>
    </row>
    <row r="1109" spans="1:7" ht="13.2">
      <c r="A1109" s="355"/>
      <c r="B1109" s="355"/>
      <c r="C1109" s="322"/>
      <c r="D1109" s="2088"/>
      <c r="E1109" s="2088"/>
      <c r="F1109" s="2088"/>
      <c r="G1109" s="572"/>
    </row>
    <row r="1110" spans="1:7" ht="13.2">
      <c r="A1110" s="355"/>
      <c r="B1110" s="355"/>
      <c r="C1110" s="322"/>
      <c r="D1110" s="2088"/>
      <c r="E1110" s="2088"/>
      <c r="F1110" s="2088"/>
      <c r="G1110" s="572"/>
    </row>
    <row r="1111" spans="1:7" ht="13.2">
      <c r="A1111" s="355"/>
      <c r="B1111" s="355"/>
      <c r="C1111" s="322"/>
      <c r="D1111" s="2088"/>
      <c r="E1111" s="2088"/>
      <c r="F1111" s="2088"/>
      <c r="G1111" s="572"/>
    </row>
    <row r="1112" spans="1:7" ht="13.2">
      <c r="A1112" s="355"/>
      <c r="B1112" s="355"/>
      <c r="C1112" s="322"/>
      <c r="D1112" s="2088"/>
      <c r="E1112" s="2088"/>
      <c r="F1112" s="2088"/>
      <c r="G1112" s="572"/>
    </row>
    <row r="1113" spans="1:7" ht="13.2">
      <c r="A1113" s="355"/>
      <c r="B1113" s="355"/>
      <c r="C1113" s="322"/>
      <c r="D1113" s="2088"/>
      <c r="E1113" s="2088"/>
      <c r="F1113" s="2088"/>
      <c r="G1113" s="572"/>
    </row>
    <row r="1114" spans="1:7" ht="13.2">
      <c r="A1114" s="355"/>
      <c r="B1114" s="355"/>
      <c r="C1114" s="322"/>
      <c r="D1114" s="1129"/>
      <c r="E1114" s="1129"/>
      <c r="F1114" s="1129"/>
      <c r="G1114" s="572"/>
    </row>
    <row r="1115" spans="1:7" ht="12.45" customHeight="1">
      <c r="A1115" s="355"/>
      <c r="B1115" s="1503" t="s">
        <v>136</v>
      </c>
      <c r="C1115" s="322"/>
      <c r="D1115" s="2148" t="s">
        <v>2006</v>
      </c>
      <c r="E1115" s="2146"/>
      <c r="F1115" s="2146"/>
      <c r="G1115" s="572"/>
    </row>
    <row r="1116" spans="1:7" ht="12.45" customHeight="1">
      <c r="A1116" s="355"/>
      <c r="B1116" s="355"/>
      <c r="C1116" s="322"/>
      <c r="D1116" s="2146"/>
      <c r="E1116" s="2146"/>
      <c r="F1116" s="2146"/>
      <c r="G1116" s="572"/>
    </row>
    <row r="1117" spans="1:7" ht="13.2">
      <c r="A1117" s="355"/>
      <c r="B1117" s="355"/>
      <c r="C1117" s="322"/>
      <c r="D1117" s="2146"/>
      <c r="E1117" s="2146"/>
      <c r="F1117" s="2146"/>
      <c r="G1117" s="572"/>
    </row>
    <row r="1118" spans="1:7" ht="13.2">
      <c r="A1118" s="355"/>
      <c r="B1118" s="355"/>
      <c r="C1118" s="322"/>
      <c r="D1118" s="1130"/>
      <c r="E1118" s="1130"/>
      <c r="F1118" s="1130"/>
      <c r="G1118" s="572"/>
    </row>
    <row r="1119" spans="1:7" ht="13.2">
      <c r="A1119" s="140"/>
      <c r="B1119" s="140"/>
      <c r="C1119" s="14"/>
      <c r="D1119" s="2092" t="s">
        <v>1668</v>
      </c>
      <c r="E1119" s="2092"/>
      <c r="F1119" s="2092"/>
    </row>
    <row r="1120" spans="1:7" ht="13.2">
      <c r="A1120" s="1021"/>
      <c r="B1120" s="1021"/>
      <c r="C1120" s="14"/>
      <c r="D1120" s="1016"/>
      <c r="E1120" s="282"/>
      <c r="F1120" s="282"/>
    </row>
    <row r="1121" spans="1:7" ht="14.4">
      <c r="A1121" s="413"/>
      <c r="B1121" s="950" t="s">
        <v>1533</v>
      </c>
      <c r="C1121" s="14"/>
      <c r="D1121" s="2093" t="s">
        <v>1877</v>
      </c>
      <c r="E1121" s="2093"/>
      <c r="F1121" s="2093"/>
    </row>
    <row r="1122" spans="1:7" ht="13.2">
      <c r="A1122" s="140"/>
      <c r="B1122" s="140"/>
      <c r="C1122" s="14"/>
      <c r="D1122" s="2093"/>
      <c r="E1122" s="2093"/>
      <c r="F1122" s="2093"/>
    </row>
    <row r="1123" spans="1:7" ht="13.2">
      <c r="A1123" s="140"/>
      <c r="B1123" s="140"/>
      <c r="C1123" s="14"/>
      <c r="E1123" s="282"/>
      <c r="F1123" s="282"/>
    </row>
    <row r="1124" spans="1:7" ht="14.4">
      <c r="A1124" s="413"/>
      <c r="B1124" s="950" t="s">
        <v>136</v>
      </c>
      <c r="C1124" s="14"/>
      <c r="D1124" s="2093" t="s">
        <v>1878</v>
      </c>
      <c r="E1124" s="2093"/>
      <c r="F1124" s="2093"/>
    </row>
    <row r="1125" spans="1:7" ht="13.2">
      <c r="A1125" s="140"/>
      <c r="B1125" s="140"/>
      <c r="C1125" s="14"/>
      <c r="D1125" s="2093"/>
      <c r="E1125" s="2093"/>
      <c r="F1125" s="2093"/>
    </row>
    <row r="1126" spans="1:7" ht="13.2">
      <c r="A1126" s="140"/>
      <c r="B1126" s="140"/>
      <c r="C1126" s="14"/>
      <c r="D1126" s="282"/>
      <c r="E1126" s="282"/>
      <c r="F1126" s="282"/>
    </row>
    <row r="1127" spans="1:7" ht="13.2">
      <c r="A1127" s="140"/>
      <c r="B1127" s="140"/>
      <c r="C1127" s="14"/>
      <c r="D1127" s="2092" t="s">
        <v>1669</v>
      </c>
      <c r="E1127" s="2092"/>
      <c r="F1127" s="2092"/>
    </row>
    <row r="1128" spans="1:7" ht="13.2">
      <c r="A1128" s="1021"/>
      <c r="B1128" s="1021"/>
      <c r="C1128" s="14"/>
      <c r="D1128" s="1016"/>
      <c r="E1128" s="282"/>
      <c r="F1128" s="282"/>
    </row>
    <row r="1129" spans="1:7" ht="14.4">
      <c r="A1129" s="413"/>
      <c r="B1129" s="950" t="s">
        <v>136</v>
      </c>
      <c r="C1129" s="14"/>
      <c r="D1129" s="2089" t="s">
        <v>1879</v>
      </c>
      <c r="E1129" s="2089"/>
      <c r="F1129" s="2089"/>
    </row>
    <row r="1130" spans="1:7" ht="13.2">
      <c r="A1130" s="140"/>
      <c r="B1130" s="140"/>
      <c r="C1130" s="14"/>
      <c r="D1130" s="282"/>
      <c r="E1130" s="282"/>
      <c r="F1130" s="282"/>
    </row>
    <row r="1131" spans="1:7" ht="14.4">
      <c r="A1131" s="413"/>
      <c r="B1131" s="1503" t="s">
        <v>136</v>
      </c>
      <c r="C1131" s="14"/>
      <c r="D1131" s="2088" t="s">
        <v>1880</v>
      </c>
      <c r="E1131" s="2088"/>
      <c r="F1131" s="2088"/>
    </row>
    <row r="1132" spans="1:7" ht="14.4">
      <c r="A1132" s="413"/>
      <c r="B1132" s="413"/>
      <c r="C1132" s="14"/>
      <c r="D1132" s="2088"/>
      <c r="E1132" s="2088"/>
      <c r="F1132" s="2088"/>
    </row>
    <row r="1133" spans="1:7" ht="14.4">
      <c r="A1133" s="413"/>
      <c r="B1133" s="413"/>
      <c r="C1133" s="14"/>
      <c r="D1133" s="1025"/>
      <c r="E1133" s="1025"/>
      <c r="F1133" s="1025"/>
      <c r="G1133" s="2"/>
    </row>
    <row r="1134" spans="1:7" ht="13.2">
      <c r="A1134" s="1027"/>
      <c r="B1134" s="1027"/>
      <c r="C1134" s="14"/>
      <c r="D1134" s="2092" t="s">
        <v>1890</v>
      </c>
      <c r="E1134" s="2092"/>
      <c r="F1134" s="2092"/>
      <c r="G1134" s="2"/>
    </row>
    <row r="1135" spans="1:7" ht="13.2">
      <c r="A1135" s="1027"/>
      <c r="B1135" s="1027"/>
      <c r="C1135" s="14"/>
      <c r="D1135" s="1026"/>
      <c r="E1135" s="282"/>
      <c r="F1135" s="282"/>
      <c r="G1135" s="2"/>
    </row>
    <row r="1136" spans="1:7" ht="14.4" customHeight="1">
      <c r="A1136" s="413"/>
      <c r="B1136" s="1503" t="s">
        <v>136</v>
      </c>
      <c r="C1136" s="14"/>
      <c r="D1136" s="2095" t="s">
        <v>1986</v>
      </c>
      <c r="E1136" s="2088"/>
      <c r="F1136" s="2088"/>
      <c r="G1136" s="2"/>
    </row>
    <row r="1137" spans="1:7" ht="14.4">
      <c r="A1137" s="413"/>
      <c r="B1137" s="413"/>
      <c r="C1137" s="14"/>
      <c r="D1137" s="2088"/>
      <c r="E1137" s="2088"/>
      <c r="F1137" s="2088"/>
      <c r="G1137" s="2"/>
    </row>
    <row r="1138" spans="1:7" ht="14.4">
      <c r="A1138" s="413"/>
      <c r="B1138" s="413"/>
      <c r="C1138" s="14"/>
      <c r="D1138" s="2088"/>
      <c r="E1138" s="2088"/>
      <c r="F1138" s="2088"/>
      <c r="G1138" s="2"/>
    </row>
    <row r="1139" spans="1:7" ht="14.4">
      <c r="A1139" s="413"/>
      <c r="B1139" s="413"/>
      <c r="C1139" s="14"/>
      <c r="D1139" s="2088"/>
      <c r="E1139" s="2088"/>
      <c r="F1139" s="2088"/>
      <c r="G1139" s="2"/>
    </row>
    <row r="1140" spans="1:7" ht="14.4">
      <c r="A1140" s="413"/>
      <c r="B1140" s="413"/>
      <c r="C1140" s="14"/>
      <c r="D1140" s="2088"/>
      <c r="E1140" s="2088"/>
      <c r="F1140" s="2088"/>
      <c r="G1140" s="2"/>
    </row>
    <row r="1141" spans="1:7" ht="14.4">
      <c r="A1141" s="413"/>
      <c r="B1141" s="413"/>
      <c r="C1141" s="14"/>
      <c r="D1141" s="2088"/>
      <c r="E1141" s="2088"/>
      <c r="F1141" s="2088"/>
      <c r="G1141" s="2"/>
    </row>
    <row r="1142" spans="1:7" ht="14.4">
      <c r="A1142" s="413"/>
      <c r="B1142" s="413"/>
      <c r="C1142" s="14"/>
      <c r="D1142" s="2088"/>
      <c r="E1142" s="2088"/>
      <c r="F1142" s="2088"/>
      <c r="G1142" s="2"/>
    </row>
    <row r="1143" spans="1:7" ht="14.4">
      <c r="A1143" s="413"/>
      <c r="B1143" s="413"/>
      <c r="C1143" s="14"/>
      <c r="D1143" s="2088"/>
      <c r="E1143" s="2088"/>
      <c r="F1143" s="2088"/>
      <c r="G1143" s="2"/>
    </row>
    <row r="1144" spans="1:7" ht="14.4">
      <c r="A1144" s="413"/>
      <c r="B1144" s="413"/>
      <c r="C1144" s="14"/>
      <c r="D1144" s="2088"/>
      <c r="E1144" s="2088"/>
      <c r="F1144" s="2088"/>
      <c r="G1144" s="2"/>
    </row>
    <row r="1145" spans="1:7" ht="14.4">
      <c r="A1145" s="413"/>
      <c r="B1145" s="413"/>
      <c r="C1145" s="14"/>
      <c r="D1145" s="2088"/>
      <c r="E1145" s="2088"/>
      <c r="F1145" s="2088"/>
      <c r="G1145" s="2"/>
    </row>
    <row r="1146" spans="1:7" ht="14.4">
      <c r="A1146" s="413"/>
      <c r="B1146" s="413"/>
      <c r="C1146" s="14"/>
      <c r="D1146" s="2088"/>
      <c r="E1146" s="2088"/>
      <c r="F1146" s="2088"/>
      <c r="G1146" s="2"/>
    </row>
    <row r="1147" spans="1:7" ht="14.4">
      <c r="A1147" s="413"/>
      <c r="B1147" s="413"/>
      <c r="C1147" s="14"/>
      <c r="D1147" s="2088"/>
      <c r="E1147" s="2088"/>
      <c r="F1147" s="2088"/>
      <c r="G1147" s="2"/>
    </row>
    <row r="1148" spans="1:7" ht="14.4">
      <c r="A1148" s="413"/>
      <c r="B1148" s="413"/>
      <c r="C1148" s="14"/>
      <c r="D1148" s="2088"/>
      <c r="E1148" s="2088"/>
      <c r="F1148" s="2088"/>
      <c r="G1148" s="2"/>
    </row>
    <row r="1149" spans="1:7" ht="14.4">
      <c r="A1149" s="413"/>
      <c r="B1149" s="413"/>
      <c r="C1149" s="14"/>
      <c r="D1149" s="2088"/>
      <c r="E1149" s="2088"/>
      <c r="F1149" s="2088"/>
    </row>
    <row r="1150" spans="1:7" ht="13.2">
      <c r="A1150" s="140"/>
      <c r="B1150" s="140"/>
      <c r="C1150" s="14"/>
      <c r="D1150" s="282"/>
      <c r="E1150" s="282"/>
      <c r="F1150" s="282"/>
    </row>
    <row r="1151" spans="1:7" ht="13.2">
      <c r="A1151" s="2138" t="s">
        <v>1562</v>
      </c>
      <c r="B1151" s="2138"/>
      <c r="C1151" s="2138"/>
      <c r="D1151" s="2138"/>
      <c r="E1151" s="2138"/>
      <c r="F1151" s="2138"/>
      <c r="G1151" s="2138"/>
    </row>
    <row r="1152" spans="1:7" ht="13.2">
      <c r="A1152" s="143"/>
      <c r="B1152" s="143"/>
      <c r="C1152" s="14"/>
      <c r="D1152" s="282"/>
      <c r="E1152" s="282"/>
      <c r="F1152" s="282"/>
    </row>
    <row r="1153" spans="1:7" ht="13.2">
      <c r="A1153" s="140"/>
      <c r="B1153" s="140"/>
      <c r="C1153" s="322"/>
      <c r="D1153" s="2092" t="s">
        <v>1881</v>
      </c>
      <c r="E1153" s="2092"/>
      <c r="F1153" s="2092"/>
    </row>
    <row r="1154" spans="1:7" ht="13.2">
      <c r="A1154" s="414"/>
      <c r="B1154" s="414"/>
      <c r="C1154" s="298"/>
      <c r="D1154" s="2094" t="s">
        <v>1673</v>
      </c>
      <c r="E1154" s="2089"/>
      <c r="F1154" s="2089"/>
    </row>
    <row r="1155" spans="1:7" ht="13.2">
      <c r="A1155" s="414"/>
      <c r="B1155" s="414"/>
      <c r="C1155" s="298"/>
      <c r="D1155" s="282"/>
      <c r="E1155" s="282"/>
      <c r="F1155" s="296"/>
      <c r="G1155" s="2"/>
    </row>
    <row r="1156" spans="1:7" ht="13.65" customHeight="1">
      <c r="A1156" s="140"/>
      <c r="B1156" s="950" t="s">
        <v>1533</v>
      </c>
      <c r="C1156" s="14"/>
      <c r="D1156" s="2117" t="s">
        <v>1987</v>
      </c>
      <c r="E1156" s="2117"/>
      <c r="F1156" s="2117"/>
      <c r="G1156" s="2"/>
    </row>
    <row r="1157" spans="1:7" ht="13.2">
      <c r="A1157" s="140"/>
      <c r="B1157" s="140"/>
      <c r="C1157" s="14"/>
      <c r="D1157" s="2117"/>
      <c r="E1157" s="2117"/>
      <c r="F1157" s="2117"/>
      <c r="G1157" s="2"/>
    </row>
    <row r="1158" spans="1:7" ht="13.2">
      <c r="A1158" s="140"/>
      <c r="B1158" s="140"/>
      <c r="C1158" s="14"/>
      <c r="D1158" s="2117"/>
      <c r="E1158" s="2117"/>
      <c r="F1158" s="2117"/>
      <c r="G1158" s="2"/>
    </row>
    <row r="1159" spans="1:7" ht="13.2">
      <c r="A1159" s="150"/>
      <c r="B1159" s="150"/>
      <c r="D1159" s="2117"/>
      <c r="E1159" s="2117"/>
      <c r="F1159" s="2117"/>
      <c r="G1159" s="2"/>
    </row>
    <row r="1160" spans="1:7" ht="13.2">
      <c r="A1160" s="150"/>
      <c r="B1160" s="150"/>
      <c r="D1160" s="2117"/>
      <c r="E1160" s="2117"/>
      <c r="F1160" s="2117"/>
      <c r="G1160" s="2"/>
    </row>
    <row r="1161" spans="1:7" ht="13.2">
      <c r="A1161" s="415"/>
      <c r="B1161" s="415"/>
      <c r="C1161" s="299"/>
      <c r="D1161" s="2117"/>
      <c r="E1161" s="2117"/>
      <c r="F1161" s="2117"/>
      <c r="G1161" s="2"/>
    </row>
    <row r="1162" spans="1:7" ht="14.4" customHeight="1">
      <c r="A1162" s="415"/>
      <c r="B1162" s="415"/>
      <c r="C1162" s="299"/>
      <c r="D1162" s="2117"/>
      <c r="E1162" s="2117"/>
      <c r="F1162" s="2117"/>
      <c r="G1162" s="2"/>
    </row>
    <row r="1163" spans="1:7" ht="13.2">
      <c r="A1163" s="415"/>
      <c r="B1163" s="415"/>
      <c r="C1163" s="299"/>
      <c r="D1163" s="1015"/>
      <c r="E1163" s="1015"/>
      <c r="F1163" s="1015"/>
      <c r="G1163" s="2"/>
    </row>
    <row r="1164" spans="1:7" ht="13.2">
      <c r="A1164" s="415"/>
      <c r="B1164" s="1031" t="s">
        <v>1533</v>
      </c>
      <c r="C1164" s="299"/>
      <c r="D1164" s="2093" t="s">
        <v>1891</v>
      </c>
      <c r="E1164" s="2093"/>
      <c r="F1164" s="2093"/>
      <c r="G1164" s="2"/>
    </row>
    <row r="1165" spans="1:7" ht="13.2">
      <c r="A1165" s="415"/>
      <c r="B1165" s="415"/>
      <c r="C1165" s="299"/>
      <c r="D1165" s="2093"/>
      <c r="E1165" s="2093"/>
      <c r="F1165" s="2093"/>
      <c r="G1165" s="2"/>
    </row>
    <row r="1166" spans="1:7" ht="13.2">
      <c r="A1166" s="415"/>
      <c r="B1166" s="415"/>
      <c r="C1166" s="299"/>
      <c r="D1166" s="2093"/>
      <c r="E1166" s="2093"/>
      <c r="F1166" s="2093"/>
      <c r="G1166" s="2"/>
    </row>
    <row r="1167" spans="1:7" ht="13.2">
      <c r="A1167" s="415"/>
      <c r="B1167" s="415"/>
      <c r="C1167" s="299"/>
      <c r="D1167" s="2093"/>
      <c r="E1167" s="2093"/>
      <c r="F1167" s="2093"/>
      <c r="G1167" s="2"/>
    </row>
    <row r="1168" spans="1:7" ht="13.2">
      <c r="A1168" s="415"/>
      <c r="B1168" s="415"/>
      <c r="C1168" s="299"/>
      <c r="D1168" s="1100"/>
      <c r="E1168" s="1100"/>
      <c r="F1168" s="1100"/>
      <c r="G1168" s="2"/>
    </row>
    <row r="1169" spans="1:7" ht="13.2">
      <c r="A1169" s="415"/>
      <c r="B1169" s="1503" t="s">
        <v>136</v>
      </c>
      <c r="C1169" s="299"/>
      <c r="D1169" s="2096" t="s">
        <v>1988</v>
      </c>
      <c r="E1169" s="2093"/>
      <c r="F1169" s="2093"/>
      <c r="G1169" s="2"/>
    </row>
    <row r="1170" spans="1:7" ht="13.2">
      <c r="A1170" s="415"/>
      <c r="B1170" s="415"/>
      <c r="C1170" s="299"/>
      <c r="D1170" s="2093"/>
      <c r="E1170" s="2093"/>
      <c r="F1170" s="2093"/>
      <c r="G1170" s="2"/>
    </row>
    <row r="1171" spans="1:7" ht="13.2">
      <c r="A1171" s="415"/>
      <c r="B1171" s="415"/>
      <c r="C1171" s="299"/>
      <c r="D1171" s="1100"/>
      <c r="E1171" s="1100"/>
      <c r="F1171" s="1100"/>
      <c r="G1171" s="2"/>
    </row>
    <row r="1172" spans="1:7" ht="14.4">
      <c r="A1172" s="413"/>
      <c r="B1172" s="950" t="s">
        <v>1533</v>
      </c>
      <c r="C1172" s="14"/>
      <c r="D1172" s="2089" t="s">
        <v>1882</v>
      </c>
      <c r="E1172" s="2089"/>
      <c r="F1172" s="2089"/>
      <c r="G1172" s="2"/>
    </row>
    <row r="1173" spans="1:7" ht="13.2">
      <c r="A1173" s="140"/>
      <c r="B1173" s="140"/>
      <c r="C1173" s="14"/>
      <c r="D1173" s="282"/>
      <c r="E1173" s="282"/>
      <c r="F1173" s="282"/>
      <c r="G1173" s="2"/>
    </row>
    <row r="1174" spans="1:7" ht="14.4">
      <c r="A1174" s="413"/>
      <c r="B1174" s="950" t="s">
        <v>136</v>
      </c>
      <c r="C1174" s="14"/>
      <c r="D1174" s="2089" t="s">
        <v>1883</v>
      </c>
      <c r="E1174" s="2089"/>
      <c r="F1174" s="2089"/>
      <c r="G1174" s="2"/>
    </row>
    <row r="1175" spans="1:7" ht="13.2">
      <c r="A1175" s="140"/>
      <c r="B1175" s="140"/>
      <c r="C1175" s="14"/>
      <c r="D1175" s="287"/>
      <c r="E1175" s="282"/>
      <c r="F1175" s="282"/>
      <c r="G1175" s="2"/>
    </row>
    <row r="1176" spans="1:7" ht="14.4">
      <c r="A1176" s="413"/>
      <c r="B1176" s="1503" t="s">
        <v>136</v>
      </c>
      <c r="C1176" s="14"/>
      <c r="D1176" s="2089" t="s">
        <v>1884</v>
      </c>
      <c r="E1176" s="2089"/>
      <c r="F1176" s="2089"/>
      <c r="G1176" s="2"/>
    </row>
    <row r="1177" spans="1:7" ht="13.2">
      <c r="A1177" s="140"/>
      <c r="B1177" s="140"/>
      <c r="C1177" s="14"/>
      <c r="D1177" s="287"/>
      <c r="E1177" s="282"/>
      <c r="F1177" s="282"/>
      <c r="G1177" s="2"/>
    </row>
    <row r="1178" spans="1:7" ht="14.4">
      <c r="A1178" s="413"/>
      <c r="B1178" s="1503" t="s">
        <v>136</v>
      </c>
      <c r="C1178" s="14"/>
      <c r="D1178" s="2088" t="s">
        <v>1885</v>
      </c>
      <c r="E1178" s="2088"/>
      <c r="F1178" s="2088"/>
      <c r="G1178" s="2"/>
    </row>
    <row r="1179" spans="1:7" ht="14.4">
      <c r="A1179" s="413"/>
      <c r="B1179" s="413"/>
      <c r="C1179" s="14"/>
      <c r="D1179" s="2088"/>
      <c r="E1179" s="2088"/>
      <c r="F1179" s="2088"/>
      <c r="G1179" s="2"/>
    </row>
    <row r="1180" spans="1:7" ht="14.4">
      <c r="A1180" s="413"/>
      <c r="B1180" s="413"/>
      <c r="C1180" s="14"/>
      <c r="D1180" s="287"/>
      <c r="E1180" s="282"/>
      <c r="F1180" s="282"/>
    </row>
    <row r="1181" spans="1:7" s="707" customFormat="1" ht="14.4">
      <c r="A1181" s="464"/>
      <c r="B1181" s="950" t="s">
        <v>136</v>
      </c>
      <c r="C1181" s="465"/>
      <c r="D1181" s="2090" t="s">
        <v>1886</v>
      </c>
      <c r="E1181" s="2090"/>
      <c r="F1181" s="2090"/>
      <c r="G1181" s="708"/>
    </row>
    <row r="1182" spans="1:7" s="707" customFormat="1" ht="13.2">
      <c r="A1182" s="465"/>
      <c r="B1182" s="465"/>
      <c r="C1182" s="465"/>
      <c r="D1182" s="2090"/>
      <c r="E1182" s="2090"/>
      <c r="F1182" s="2090"/>
      <c r="G1182" s="708"/>
    </row>
    <row r="1183" spans="1:7" s="707" customFormat="1" ht="13.2">
      <c r="A1183" s="465"/>
      <c r="B1183" s="465"/>
      <c r="C1183" s="465"/>
      <c r="D1183" s="466"/>
      <c r="E1183" s="467"/>
      <c r="F1183" s="467"/>
      <c r="G1183" s="708"/>
    </row>
    <row r="1184" spans="1:7" s="707" customFormat="1" ht="14.4">
      <c r="A1184" s="464"/>
      <c r="B1184" s="950" t="s">
        <v>1533</v>
      </c>
      <c r="C1184" s="465"/>
      <c r="D1184" s="2091" t="s">
        <v>1887</v>
      </c>
      <c r="E1184" s="2091"/>
      <c r="F1184" s="2091"/>
      <c r="G1184" s="708"/>
    </row>
    <row r="1185" spans="1:7" s="707" customFormat="1" ht="13.2">
      <c r="A1185" s="465"/>
      <c r="B1185" s="465"/>
      <c r="C1185" s="465"/>
      <c r="D1185" s="466"/>
      <c r="E1185" s="467"/>
      <c r="F1185" s="467"/>
      <c r="G1185" s="708"/>
    </row>
    <row r="1186" spans="1:7" ht="14.4">
      <c r="A1186" s="413"/>
      <c r="B1186" s="950" t="s">
        <v>1533</v>
      </c>
      <c r="C1186" s="14"/>
      <c r="D1186" s="2089" t="s">
        <v>1888</v>
      </c>
      <c r="E1186" s="2089"/>
      <c r="F1186" s="2089"/>
    </row>
    <row r="1187" spans="1:7" ht="14.4">
      <c r="A1187" s="413"/>
      <c r="B1187" s="413"/>
      <c r="C1187" s="14"/>
      <c r="D1187" s="287"/>
      <c r="E1187" s="282"/>
      <c r="F1187" s="282"/>
    </row>
    <row r="1188" spans="1:7" ht="14.4">
      <c r="A1188" s="413"/>
      <c r="B1188" s="950" t="s">
        <v>136</v>
      </c>
      <c r="C1188" s="14"/>
      <c r="D1188" s="2088" t="s">
        <v>1889</v>
      </c>
      <c r="E1188" s="2088"/>
      <c r="F1188" s="2088"/>
    </row>
    <row r="1189" spans="1:7" ht="14.4">
      <c r="A1189" s="413"/>
      <c r="B1189" s="413"/>
      <c r="C1189" s="14"/>
      <c r="D1189" s="2088"/>
      <c r="E1189" s="2088"/>
      <c r="F1189" s="2088"/>
    </row>
    <row r="1190" spans="1:7" ht="13.2">
      <c r="A1190" s="140"/>
      <c r="B1190" s="140"/>
      <c r="C1190" s="14"/>
      <c r="D1190" s="282"/>
      <c r="E1190" s="282"/>
      <c r="F1190" s="282"/>
    </row>
    <row r="1191" spans="1:7" ht="13.2">
      <c r="A1191" s="2138" t="s">
        <v>2317</v>
      </c>
      <c r="B1191" s="2138"/>
      <c r="C1191" s="2138"/>
      <c r="D1191" s="2138"/>
      <c r="E1191" s="2138"/>
      <c r="F1191" s="2138"/>
      <c r="G1191" s="2138"/>
    </row>
    <row r="1192" spans="1:7" ht="13.2">
      <c r="A1192" s="140"/>
      <c r="B1192" s="140"/>
      <c r="C1192" s="14"/>
      <c r="D1192" s="282"/>
      <c r="E1192" s="282"/>
      <c r="F1192" s="282"/>
    </row>
    <row r="1193" spans="1:7" ht="13.2">
      <c r="A1193" s="2138" t="s">
        <v>1563</v>
      </c>
      <c r="B1193" s="2138"/>
      <c r="C1193" s="2138"/>
      <c r="D1193" s="2138"/>
      <c r="E1193" s="2138"/>
      <c r="F1193" s="2138"/>
      <c r="G1193" s="2138"/>
    </row>
    <row r="1194" spans="1:7" ht="13.2">
      <c r="A1194" s="140"/>
      <c r="B1194" s="140"/>
      <c r="C1194" s="14"/>
      <c r="D1194" s="282"/>
      <c r="E1194" s="282"/>
      <c r="F1194" s="282"/>
    </row>
    <row r="1195" spans="1:7" ht="13.2">
      <c r="A1195" s="150"/>
      <c r="B1195" s="150"/>
      <c r="D1195" s="2100" t="s">
        <v>1693</v>
      </c>
      <c r="E1195" s="2100"/>
      <c r="F1195" s="2100"/>
    </row>
    <row r="1196" spans="1:7" ht="13.2">
      <c r="A1196" s="150"/>
      <c r="B1196" s="150"/>
      <c r="D1196" s="2152" t="s">
        <v>2193</v>
      </c>
      <c r="E1196" s="2152"/>
      <c r="F1196" s="2152"/>
    </row>
    <row r="1197" spans="1:7" ht="13.2">
      <c r="A1197" s="430"/>
      <c r="B1197" s="430"/>
      <c r="C1197" s="406"/>
    </row>
    <row r="1198" spans="1:7" ht="14.4">
      <c r="A1198" s="413"/>
      <c r="B1198" s="413"/>
      <c r="C1198" s="299"/>
      <c r="D1198" s="2100" t="s">
        <v>1694</v>
      </c>
      <c r="E1198" s="2100"/>
      <c r="F1198" s="2100"/>
    </row>
    <row r="1199" spans="1:7" ht="13.2">
      <c r="A1199" s="140"/>
      <c r="B1199" s="950" t="s">
        <v>1533</v>
      </c>
      <c r="C1199" s="14"/>
      <c r="D1199" s="2145" t="s">
        <v>1695</v>
      </c>
      <c r="E1199" s="2145"/>
      <c r="F1199" s="2145"/>
    </row>
    <row r="1200" spans="1:7" ht="13.2">
      <c r="A1200" s="140"/>
      <c r="B1200" s="140"/>
      <c r="C1200" s="14"/>
      <c r="D1200" s="2152" t="s">
        <v>2194</v>
      </c>
      <c r="E1200" s="2152"/>
      <c r="F1200" s="2152"/>
    </row>
    <row r="1201" spans="1:7" ht="13.2">
      <c r="A1201" s="150"/>
      <c r="B1201" s="150"/>
      <c r="G1201" s="2"/>
    </row>
    <row r="1202" spans="1:7" ht="12.75" customHeight="1">
      <c r="A1202" s="150"/>
      <c r="B1202" s="1503" t="s">
        <v>136</v>
      </c>
      <c r="D1202" s="2087" t="s">
        <v>2081</v>
      </c>
      <c r="E1202" s="2087"/>
      <c r="F1202" s="2087"/>
      <c r="G1202" s="2"/>
    </row>
    <row r="1203" spans="1:7" ht="13.2">
      <c r="A1203" s="150"/>
      <c r="B1203" s="150"/>
      <c r="D1203" s="2087"/>
      <c r="E1203" s="2087"/>
      <c r="F1203" s="2087"/>
      <c r="G1203" s="2"/>
    </row>
    <row r="1204" spans="1:7" ht="13.2">
      <c r="A1204" s="150"/>
      <c r="B1204" s="150"/>
      <c r="G1204" s="2"/>
    </row>
    <row r="1205" spans="1:7" ht="12.75" customHeight="1">
      <c r="A1205" s="150"/>
      <c r="B1205" s="150"/>
    </row>
    <row r="1206" spans="1:7" ht="13.2">
      <c r="A1206" s="2144" t="s">
        <v>1565</v>
      </c>
      <c r="B1206" s="2144"/>
      <c r="C1206" s="2144"/>
      <c r="D1206" s="2144"/>
      <c r="E1206" s="2144"/>
      <c r="F1206" s="2144"/>
      <c r="G1206" s="2144"/>
    </row>
    <row r="1207" spans="1:7" ht="13.2">
      <c r="A1207" s="76"/>
      <c r="B1207" s="76"/>
      <c r="C1207" s="285"/>
      <c r="D1207" s="288"/>
      <c r="E1207" s="288"/>
      <c r="F1207" s="288"/>
      <c r="G1207" s="288"/>
    </row>
    <row r="1208" spans="1:7" ht="12.75" customHeight="1">
      <c r="A1208" s="76"/>
      <c r="B1208" s="76"/>
      <c r="C1208" s="285"/>
      <c r="D1208" s="2151" t="s">
        <v>1564</v>
      </c>
      <c r="E1208" s="2151"/>
      <c r="F1208" s="2151"/>
      <c r="G1208" s="288"/>
    </row>
    <row r="1209" spans="1:7" ht="12.75" customHeight="1">
      <c r="A1209" s="76"/>
      <c r="B1209" s="76"/>
      <c r="C1209" s="285"/>
      <c r="D1209" s="2132" t="s">
        <v>1574</v>
      </c>
      <c r="E1209" s="2132"/>
      <c r="F1209" s="2132"/>
      <c r="G1209" s="288"/>
    </row>
    <row r="1210" spans="1:7" ht="12.75" customHeight="1">
      <c r="A1210" s="76"/>
      <c r="B1210" s="76"/>
      <c r="C1210" s="285"/>
      <c r="D1210" s="288"/>
      <c r="E1210" s="288"/>
      <c r="F1210" s="288"/>
      <c r="G1210" s="288"/>
    </row>
    <row r="1211" spans="1:7" ht="14.4">
      <c r="A1211" s="413"/>
      <c r="B1211" s="1503" t="s">
        <v>136</v>
      </c>
      <c r="C1211" s="14"/>
      <c r="D1211" s="2107" t="s">
        <v>1125</v>
      </c>
      <c r="E1211" s="2107"/>
      <c r="F1211" s="2107"/>
    </row>
    <row r="1212" spans="1:7" ht="13.2">
      <c r="A1212" s="140"/>
      <c r="B1212" s="140"/>
      <c r="C1212" s="14"/>
      <c r="D1212" s="2089" t="s">
        <v>1256</v>
      </c>
      <c r="E1212" s="2089"/>
      <c r="F1212" s="2089"/>
    </row>
    <row r="1213" spans="1:7" ht="13.2">
      <c r="A1213" s="140"/>
      <c r="B1213" s="140"/>
      <c r="C1213" s="14"/>
      <c r="D1213" s="282"/>
      <c r="E1213" s="2127" t="s">
        <v>1696</v>
      </c>
      <c r="F1213" s="2127"/>
    </row>
    <row r="1214" spans="1:7" ht="13.2">
      <c r="A1214" s="140"/>
      <c r="B1214" s="140"/>
      <c r="C1214" s="14"/>
      <c r="D1214" s="6"/>
      <c r="E1214" s="282"/>
      <c r="F1214" s="282"/>
    </row>
    <row r="1215" spans="1:7" ht="13.2">
      <c r="A1215" s="140"/>
      <c r="B1215" s="140"/>
      <c r="C1215" s="14"/>
      <c r="D1215" s="2150" t="s">
        <v>1409</v>
      </c>
      <c r="E1215" s="2150"/>
      <c r="F1215" s="2150"/>
    </row>
    <row r="1216" spans="1:7" ht="13.2">
      <c r="A1216" s="140"/>
      <c r="B1216" s="1503" t="s">
        <v>136</v>
      </c>
      <c r="C1216" s="140"/>
      <c r="D1216" s="2088" t="s">
        <v>1697</v>
      </c>
      <c r="E1216" s="2088"/>
      <c r="F1216" s="2088"/>
      <c r="G1216" s="2"/>
    </row>
    <row r="1217" spans="1:7" ht="13.2">
      <c r="A1217" s="140"/>
      <c r="B1217" s="140"/>
      <c r="C1217" s="14"/>
      <c r="D1217" s="2088"/>
      <c r="E1217" s="2088"/>
      <c r="F1217" s="2088"/>
      <c r="G1217" s="2"/>
    </row>
    <row r="1218" spans="1:7" ht="13.2">
      <c r="A1218" s="140"/>
      <c r="B1218" s="140"/>
      <c r="C1218" s="14"/>
      <c r="D1218" s="810" t="s">
        <v>1412</v>
      </c>
      <c r="E1218" s="2"/>
      <c r="F1218" s="2"/>
      <c r="G1218" s="2"/>
    </row>
    <row r="1219" spans="1:7" ht="13.65" customHeight="1">
      <c r="A1219" s="140"/>
      <c r="B1219" s="140"/>
      <c r="C1219" s="14"/>
      <c r="D1219" s="2088" t="s">
        <v>1698</v>
      </c>
      <c r="E1219" s="2088"/>
      <c r="F1219" s="2088"/>
      <c r="G1219" s="2"/>
    </row>
    <row r="1220" spans="1:7" ht="13.2">
      <c r="A1220" s="140"/>
      <c r="B1220" s="140"/>
      <c r="C1220" s="14"/>
      <c r="D1220" s="2088"/>
      <c r="E1220" s="2088"/>
      <c r="F1220" s="2088"/>
      <c r="G1220" s="2"/>
    </row>
    <row r="1221" spans="1:7" ht="13.2">
      <c r="A1221" s="140"/>
      <c r="B1221" s="140"/>
      <c r="C1221" s="14"/>
      <c r="D1221" s="2088"/>
      <c r="E1221" s="2088"/>
      <c r="F1221" s="2088"/>
      <c r="G1221" s="2"/>
    </row>
    <row r="1222" spans="1:7" ht="13.2">
      <c r="A1222" s="140"/>
      <c r="B1222" s="140"/>
      <c r="C1222" s="14"/>
      <c r="D1222" s="2088"/>
      <c r="E1222" s="2088"/>
      <c r="F1222" s="2088"/>
      <c r="G1222" s="2"/>
    </row>
    <row r="1223" spans="1:7" ht="13.2">
      <c r="A1223" s="140"/>
      <c r="B1223" s="140"/>
      <c r="C1223" s="14"/>
      <c r="D1223" s="2127" t="s">
        <v>1128</v>
      </c>
      <c r="E1223" s="2127"/>
      <c r="F1223" s="2127"/>
      <c r="G1223" s="2"/>
    </row>
    <row r="1224" spans="1:7" ht="13.2">
      <c r="A1224" s="140"/>
      <c r="B1224" s="1503" t="s">
        <v>136</v>
      </c>
      <c r="C1224" s="140"/>
      <c r="D1224" s="2107" t="s">
        <v>1410</v>
      </c>
      <c r="E1224" s="2107"/>
      <c r="F1224" s="2107"/>
      <c r="G1224" s="2"/>
    </row>
    <row r="1225" spans="1:7" ht="13.2">
      <c r="A1225" s="140"/>
      <c r="B1225" s="140"/>
      <c r="C1225" s="14"/>
      <c r="D1225" s="282"/>
      <c r="E1225" s="2"/>
      <c r="F1225" s="2"/>
      <c r="G1225" s="2"/>
    </row>
    <row r="1226" spans="1:7" ht="13.2">
      <c r="A1226" s="140"/>
      <c r="B1226" s="140"/>
      <c r="C1226" s="14"/>
      <c r="D1226" s="2153" t="s">
        <v>1411</v>
      </c>
      <c r="E1226" s="2153"/>
      <c r="F1226" s="2153"/>
      <c r="G1226" s="2"/>
    </row>
    <row r="1227" spans="1:7" ht="13.2">
      <c r="A1227" s="140"/>
      <c r="B1227" s="140"/>
      <c r="C1227" s="14"/>
      <c r="D1227" s="6" t="s">
        <v>1126</v>
      </c>
      <c r="E1227" s="2"/>
      <c r="F1227" s="2"/>
      <c r="G1227" s="2"/>
    </row>
    <row r="1228" spans="1:7" ht="14.4" customHeight="1">
      <c r="A1228" s="413"/>
      <c r="B1228" s="1503" t="s">
        <v>136</v>
      </c>
      <c r="C1228" s="140"/>
      <c r="D1228" s="2088" t="s">
        <v>1699</v>
      </c>
      <c r="E1228" s="2088"/>
      <c r="F1228" s="2088"/>
      <c r="G1228" s="2"/>
    </row>
    <row r="1229" spans="1:7" ht="14.4">
      <c r="A1229" s="413"/>
      <c r="B1229" s="413"/>
      <c r="C1229" s="140"/>
      <c r="D1229" s="2088"/>
      <c r="E1229" s="2088"/>
      <c r="F1229" s="2088"/>
      <c r="G1229" s="2"/>
    </row>
    <row r="1230" spans="1:7" ht="14.4">
      <c r="A1230" s="413"/>
      <c r="B1230" s="413"/>
      <c r="C1230" s="140"/>
      <c r="D1230" s="2088"/>
      <c r="E1230" s="2088"/>
      <c r="F1230" s="2088"/>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1503" t="s">
        <v>136</v>
      </c>
      <c r="C1233" s="14"/>
      <c r="D1233" s="2088" t="s">
        <v>1700</v>
      </c>
      <c r="E1233" s="2088"/>
      <c r="F1233" s="2088"/>
    </row>
    <row r="1234" spans="1:7" ht="14.4">
      <c r="A1234" s="413"/>
      <c r="B1234" s="413"/>
      <c r="C1234" s="14"/>
      <c r="D1234" s="2088"/>
      <c r="E1234" s="2088"/>
      <c r="F1234" s="2088"/>
    </row>
    <row r="1235" spans="1:7" ht="14.4">
      <c r="A1235" s="413"/>
      <c r="B1235" s="413"/>
      <c r="C1235" s="14"/>
      <c r="D1235" s="2088"/>
      <c r="E1235" s="2088"/>
      <c r="F1235" s="2088"/>
    </row>
    <row r="1236" spans="1:7" ht="14.4">
      <c r="A1236" s="413"/>
      <c r="B1236" s="413"/>
      <c r="C1236" s="14"/>
      <c r="D1236" s="2088"/>
      <c r="E1236" s="2088"/>
      <c r="F1236" s="2088"/>
    </row>
    <row r="1237" spans="1:7" ht="14.4">
      <c r="A1237" s="413"/>
      <c r="B1237" s="413"/>
      <c r="C1237" s="14"/>
      <c r="D1237" s="2088"/>
      <c r="E1237" s="2088"/>
      <c r="F1237" s="2088"/>
    </row>
    <row r="1238" spans="1:7" ht="12.75" customHeight="1">
      <c r="A1238" s="76"/>
      <c r="B1238" s="76"/>
      <c r="C1238" s="285"/>
      <c r="D1238" s="288"/>
      <c r="E1238" s="288"/>
      <c r="F1238" s="288"/>
      <c r="G1238" s="288"/>
    </row>
    <row r="1239" spans="1:7" ht="13.2">
      <c r="A1239" s="2144" t="s">
        <v>1608</v>
      </c>
      <c r="B1239" s="2144"/>
      <c r="C1239" s="2144"/>
      <c r="D1239" s="2144"/>
      <c r="E1239" s="2144"/>
      <c r="F1239" s="2144"/>
      <c r="G1239" s="2144"/>
    </row>
    <row r="1240" spans="1:7" ht="13.2">
      <c r="A1240" s="76"/>
      <c r="B1240" s="76"/>
      <c r="C1240" s="285"/>
      <c r="D1240" s="288"/>
      <c r="E1240" s="288"/>
      <c r="F1240" s="288"/>
      <c r="G1240" s="288"/>
    </row>
    <row r="1241" spans="1:7" ht="13.2">
      <c r="A1241" s="76"/>
      <c r="B1241" s="76"/>
      <c r="C1241" s="285"/>
      <c r="D1241" s="2156" t="s">
        <v>1609</v>
      </c>
      <c r="E1241" s="2156"/>
      <c r="F1241" s="2156"/>
      <c r="G1241" s="288"/>
    </row>
    <row r="1242" spans="1:7" ht="13.2">
      <c r="A1242" s="419"/>
      <c r="B1242" s="419"/>
      <c r="C1242" s="407"/>
      <c r="D1242" s="2157" t="s">
        <v>1626</v>
      </c>
      <c r="E1242" s="2157"/>
      <c r="F1242" s="2157"/>
      <c r="G1242" s="408"/>
    </row>
    <row r="1243" spans="1:7" ht="10.5" customHeight="1">
      <c r="A1243" s="150"/>
      <c r="B1243" s="150"/>
    </row>
    <row r="1244" spans="1:7" ht="14.4">
      <c r="A1244" s="413"/>
      <c r="B1244" s="1503" t="s">
        <v>136</v>
      </c>
      <c r="D1244" s="2107" t="s">
        <v>1257</v>
      </c>
      <c r="E1244" s="2107"/>
      <c r="F1244" s="2107"/>
    </row>
    <row r="1245" spans="1:7" ht="13.2">
      <c r="A1245" s="150"/>
      <c r="B1245" s="150"/>
      <c r="D1245" s="282"/>
      <c r="E1245" s="2153" t="s">
        <v>1534</v>
      </c>
      <c r="F1245" s="2153"/>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D44" activePane="bottomRight" state="frozen"/>
      <selection pane="topRight" activeCell="C1" sqref="C1"/>
      <selection pane="bottomLeft" activeCell="A4" sqref="A4"/>
      <selection pane="bottomRight" activeCell="N87" sqref="N87"/>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198" t="s">
        <v>201</v>
      </c>
      <c r="G1" s="2199"/>
      <c r="H1" s="2199"/>
      <c r="I1" s="2199"/>
      <c r="J1" s="2199"/>
      <c r="K1" s="2199"/>
      <c r="L1" s="2199"/>
      <c r="M1" s="2199"/>
      <c r="N1" s="2199"/>
      <c r="O1" s="2199"/>
      <c r="P1" s="2199"/>
      <c r="Q1" s="2199"/>
      <c r="R1" s="2200"/>
      <c r="S1" s="314"/>
      <c r="T1" s="313"/>
      <c r="U1" s="315"/>
    </row>
    <row r="2" spans="1:21" s="362" customFormat="1" ht="60" customHeight="1">
      <c r="A2" s="361"/>
      <c r="B2" s="362" t="s">
        <v>876</v>
      </c>
      <c r="C2" s="362" t="s">
        <v>565</v>
      </c>
      <c r="D2" s="432" t="s">
        <v>564</v>
      </c>
      <c r="E2" s="362" t="s">
        <v>877</v>
      </c>
      <c r="F2" s="363" t="str">
        <f>Application!B630&amp;Application!C630</f>
        <v>1)JP Morgan Chase Bank / Perm Loan</v>
      </c>
      <c r="G2" s="363" t="str">
        <f>Application!B631&amp;Application!C631</f>
        <v>2)City of Montebello / Land Note</v>
      </c>
      <c r="H2" s="363" t="str">
        <f>Application!B632&amp;Application!C632</f>
        <v>3)City of Montebello / Impact Fee Loan</v>
      </c>
      <c r="I2" s="363" t="str">
        <f>Application!B633&amp;Application!C633</f>
        <v>4)Deferred Develop Fee</v>
      </c>
      <c r="J2" s="363" t="str">
        <f>Application!B634&amp;Application!C634</f>
        <v>5)LACDA / AHTF</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3965000</v>
      </c>
      <c r="C4" s="371">
        <v>3965000</v>
      </c>
      <c r="D4" s="371"/>
      <c r="E4" s="371"/>
      <c r="F4" s="371"/>
      <c r="G4" s="371">
        <v>3280000</v>
      </c>
      <c r="H4" s="371"/>
      <c r="I4" s="371"/>
      <c r="J4" s="371">
        <f>C4-G4</f>
        <v>685000</v>
      </c>
      <c r="K4" s="371"/>
      <c r="L4" s="371"/>
      <c r="M4" s="371"/>
      <c r="N4" s="371"/>
      <c r="O4" s="371"/>
      <c r="P4" s="371"/>
      <c r="Q4" s="371"/>
      <c r="R4" s="371">
        <f>SUM(E4:Q4)</f>
        <v>3965000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3965000</v>
      </c>
      <c r="C8" s="370">
        <f t="shared" ref="C8:R8" si="0">SUM(C4:C7)</f>
        <v>3965000</v>
      </c>
      <c r="D8" s="370">
        <f t="shared" si="0"/>
        <v>0</v>
      </c>
      <c r="E8" s="370">
        <f t="shared" si="0"/>
        <v>0</v>
      </c>
      <c r="F8" s="370">
        <f t="shared" si="0"/>
        <v>0</v>
      </c>
      <c r="G8" s="370">
        <f t="shared" si="0"/>
        <v>3280000</v>
      </c>
      <c r="H8" s="370">
        <f t="shared" si="0"/>
        <v>0</v>
      </c>
      <c r="I8" s="370">
        <f t="shared" si="0"/>
        <v>0</v>
      </c>
      <c r="J8" s="370">
        <f t="shared" si="0"/>
        <v>685000</v>
      </c>
      <c r="K8" s="370">
        <f t="shared" si="0"/>
        <v>0</v>
      </c>
      <c r="L8" s="370">
        <f t="shared" si="0"/>
        <v>0</v>
      </c>
      <c r="M8" s="370">
        <f t="shared" si="0"/>
        <v>0</v>
      </c>
      <c r="N8" s="370">
        <f t="shared" si="0"/>
        <v>0</v>
      </c>
      <c r="O8" s="370">
        <f t="shared" si="0"/>
        <v>0</v>
      </c>
      <c r="P8" s="370">
        <f t="shared" si="0"/>
        <v>0</v>
      </c>
      <c r="Q8" s="370">
        <f t="shared" si="0"/>
        <v>0</v>
      </c>
      <c r="R8" s="370">
        <f t="shared" si="0"/>
        <v>3965000</v>
      </c>
      <c r="S8" s="372"/>
      <c r="T8" s="372"/>
      <c r="U8" s="367"/>
    </row>
    <row r="9" spans="1:21" s="368" customFormat="1" ht="11.4">
      <c r="A9" s="369" t="s">
        <v>1942</v>
      </c>
      <c r="B9" s="370">
        <f>SUM(C9+D9)</f>
        <v>0</v>
      </c>
      <c r="C9" s="371"/>
      <c r="D9" s="371"/>
      <c r="E9" s="371"/>
      <c r="F9" s="371"/>
      <c r="G9" s="371"/>
      <c r="H9" s="371"/>
      <c r="I9" s="371"/>
      <c r="J9" s="371"/>
      <c r="K9" s="371"/>
      <c r="L9" s="371"/>
      <c r="M9" s="371"/>
      <c r="N9" s="371"/>
      <c r="O9" s="371"/>
      <c r="P9" s="371"/>
      <c r="Q9" s="371"/>
      <c r="R9" s="371"/>
      <c r="S9" s="372"/>
      <c r="T9" s="371"/>
      <c r="U9" s="367"/>
    </row>
    <row r="10" spans="1:21" s="368" customFormat="1" ht="13.2">
      <c r="A10" s="481" t="s">
        <v>76</v>
      </c>
      <c r="B10" s="370">
        <f>SUM(C10+D10)</f>
        <v>55000</v>
      </c>
      <c r="C10" s="371">
        <v>55000</v>
      </c>
      <c r="D10" s="371"/>
      <c r="E10" s="371"/>
      <c r="F10" s="371"/>
      <c r="G10" s="371"/>
      <c r="H10" s="371"/>
      <c r="I10" s="371"/>
      <c r="J10" s="371">
        <f>C10</f>
        <v>55000</v>
      </c>
      <c r="K10" s="371"/>
      <c r="L10" s="371"/>
      <c r="M10" s="371"/>
      <c r="N10" s="371"/>
      <c r="O10" s="371"/>
      <c r="P10" s="371"/>
      <c r="Q10" s="371"/>
      <c r="R10" s="371">
        <f>SUM(E10:Q10)</f>
        <v>55000</v>
      </c>
      <c r="S10" s="371">
        <f>C10</f>
        <v>55000</v>
      </c>
      <c r="T10" s="371"/>
      <c r="U10" s="367"/>
    </row>
    <row r="11" spans="1:21" s="368" customFormat="1">
      <c r="A11" s="373" t="s">
        <v>646</v>
      </c>
      <c r="B11" s="370">
        <f>SUM(C11:D11)</f>
        <v>55000</v>
      </c>
      <c r="C11" s="370">
        <f t="shared" ref="C11:T11" si="1">SUM(C9:C10)</f>
        <v>55000</v>
      </c>
      <c r="D11" s="370">
        <f t="shared" si="1"/>
        <v>0</v>
      </c>
      <c r="E11" s="370">
        <f t="shared" si="1"/>
        <v>0</v>
      </c>
      <c r="F11" s="370">
        <f t="shared" si="1"/>
        <v>0</v>
      </c>
      <c r="G11" s="370">
        <f t="shared" si="1"/>
        <v>0</v>
      </c>
      <c r="H11" s="370">
        <f t="shared" si="1"/>
        <v>0</v>
      </c>
      <c r="I11" s="370">
        <f t="shared" si="1"/>
        <v>0</v>
      </c>
      <c r="J11" s="370">
        <f t="shared" si="1"/>
        <v>55000</v>
      </c>
      <c r="K11" s="370">
        <f t="shared" si="1"/>
        <v>0</v>
      </c>
      <c r="L11" s="370">
        <f t="shared" si="1"/>
        <v>0</v>
      </c>
      <c r="M11" s="370">
        <f t="shared" si="1"/>
        <v>0</v>
      </c>
      <c r="N11" s="370">
        <f t="shared" si="1"/>
        <v>0</v>
      </c>
      <c r="O11" s="370">
        <f t="shared" si="1"/>
        <v>0</v>
      </c>
      <c r="P11" s="370">
        <f t="shared" si="1"/>
        <v>0</v>
      </c>
      <c r="Q11" s="370">
        <f t="shared" si="1"/>
        <v>0</v>
      </c>
      <c r="R11" s="370">
        <f t="shared" si="1"/>
        <v>55000</v>
      </c>
      <c r="S11" s="372"/>
      <c r="T11" s="370">
        <f t="shared" si="1"/>
        <v>0</v>
      </c>
      <c r="U11" s="367"/>
    </row>
    <row r="12" spans="1:21" s="368" customFormat="1">
      <c r="A12" s="373" t="s">
        <v>778</v>
      </c>
      <c r="B12" s="370">
        <f t="shared" ref="B12:R12" si="2">SUM(B8+B11)</f>
        <v>4020000</v>
      </c>
      <c r="C12" s="370">
        <f t="shared" si="2"/>
        <v>4020000</v>
      </c>
      <c r="D12" s="370">
        <f t="shared" si="2"/>
        <v>0</v>
      </c>
      <c r="E12" s="370">
        <f t="shared" si="2"/>
        <v>0</v>
      </c>
      <c r="F12" s="370">
        <f t="shared" si="2"/>
        <v>0</v>
      </c>
      <c r="G12" s="370">
        <f t="shared" si="2"/>
        <v>3280000</v>
      </c>
      <c r="H12" s="370">
        <f t="shared" si="2"/>
        <v>0</v>
      </c>
      <c r="I12" s="370">
        <f t="shared" si="2"/>
        <v>0</v>
      </c>
      <c r="J12" s="370">
        <f t="shared" si="2"/>
        <v>740000</v>
      </c>
      <c r="K12" s="370">
        <f t="shared" si="2"/>
        <v>0</v>
      </c>
      <c r="L12" s="370">
        <f t="shared" si="2"/>
        <v>0</v>
      </c>
      <c r="M12" s="370">
        <f t="shared" si="2"/>
        <v>0</v>
      </c>
      <c r="N12" s="370">
        <f t="shared" si="2"/>
        <v>0</v>
      </c>
      <c r="O12" s="370">
        <f t="shared" si="2"/>
        <v>0</v>
      </c>
      <c r="P12" s="370">
        <f t="shared" si="2"/>
        <v>0</v>
      </c>
      <c r="Q12" s="370">
        <f t="shared" si="2"/>
        <v>0</v>
      </c>
      <c r="R12" s="370">
        <f t="shared" si="2"/>
        <v>4020000</v>
      </c>
      <c r="S12" s="372"/>
      <c r="T12" s="372"/>
      <c r="U12" s="367"/>
    </row>
    <row r="13" spans="1:21" s="368" customFormat="1" ht="11.4">
      <c r="A13" s="721" t="s">
        <v>1229</v>
      </c>
      <c r="B13" s="370">
        <f>SUM(C13+D13)</f>
        <v>99782</v>
      </c>
      <c r="C13" s="371">
        <v>99782</v>
      </c>
      <c r="D13" s="371"/>
      <c r="E13" s="371"/>
      <c r="F13" s="371"/>
      <c r="G13" s="371"/>
      <c r="H13" s="371"/>
      <c r="I13" s="371"/>
      <c r="J13" s="371">
        <v>99782</v>
      </c>
      <c r="K13" s="371"/>
      <c r="L13" s="371"/>
      <c r="M13" s="371"/>
      <c r="N13" s="371"/>
      <c r="O13" s="371"/>
      <c r="P13" s="371"/>
      <c r="Q13" s="371"/>
      <c r="R13" s="371">
        <f>SUM(E13:Q13)</f>
        <v>99782</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893100</v>
      </c>
      <c r="C29" s="371">
        <f>873100+20000</f>
        <v>893100</v>
      </c>
      <c r="D29" s="371"/>
      <c r="E29" s="371"/>
      <c r="F29" s="371">
        <f>C29-J29</f>
        <v>103482</v>
      </c>
      <c r="G29" s="371"/>
      <c r="H29" s="371"/>
      <c r="I29" s="371"/>
      <c r="J29" s="371">
        <f>2000000-1210382</f>
        <v>789618</v>
      </c>
      <c r="K29" s="371"/>
      <c r="L29" s="371"/>
      <c r="M29" s="371"/>
      <c r="N29" s="371"/>
      <c r="O29" s="371"/>
      <c r="P29" s="371"/>
      <c r="Q29" s="371"/>
      <c r="R29" s="371">
        <f t="shared" ref="R29:R37" si="7">SUM(E29:Q29)</f>
        <v>893100</v>
      </c>
      <c r="S29" s="371">
        <f>873100+20000</f>
        <v>893100</v>
      </c>
      <c r="T29" s="371"/>
      <c r="U29" s="367"/>
    </row>
    <row r="30" spans="1:21" s="368" customFormat="1" ht="11.4">
      <c r="A30" s="369" t="s">
        <v>1015</v>
      </c>
      <c r="B30" s="370">
        <f t="shared" si="6"/>
        <v>21133700</v>
      </c>
      <c r="C30" s="371">
        <f>20873700+315000-C10</f>
        <v>21133700</v>
      </c>
      <c r="D30" s="371"/>
      <c r="E30" s="371">
        <f>C30-F30-J30</f>
        <v>12569756</v>
      </c>
      <c r="F30" s="371">
        <f>8407426-F29</f>
        <v>8303944</v>
      </c>
      <c r="G30" s="371"/>
      <c r="H30" s="371"/>
      <c r="I30" s="371"/>
      <c r="J30" s="371">
        <f>2000000-J93-J29-J13-J10-J4</f>
        <v>260000</v>
      </c>
      <c r="K30" s="371"/>
      <c r="L30" s="371"/>
      <c r="M30" s="371"/>
      <c r="N30" s="371"/>
      <c r="O30" s="371"/>
      <c r="P30" s="371"/>
      <c r="Q30" s="371"/>
      <c r="R30" s="371">
        <f t="shared" si="7"/>
        <v>21133700</v>
      </c>
      <c r="S30" s="371">
        <f>C30</f>
        <v>21133700</v>
      </c>
      <c r="T30" s="371"/>
      <c r="U30" s="367"/>
    </row>
    <row r="31" spans="1:21" s="368" customFormat="1" ht="11.4">
      <c r="A31" s="369" t="s">
        <v>1016</v>
      </c>
      <c r="B31" s="370">
        <f t="shared" si="6"/>
        <v>1325508</v>
      </c>
      <c r="C31" s="371">
        <v>1325508</v>
      </c>
      <c r="D31" s="371"/>
      <c r="E31" s="371">
        <v>1325508</v>
      </c>
      <c r="F31" s="371"/>
      <c r="G31" s="371"/>
      <c r="H31" s="371"/>
      <c r="I31" s="371"/>
      <c r="J31" s="371"/>
      <c r="K31" s="371"/>
      <c r="L31" s="371"/>
      <c r="M31" s="371"/>
      <c r="N31" s="371"/>
      <c r="O31" s="371"/>
      <c r="P31" s="371"/>
      <c r="Q31" s="371"/>
      <c r="R31" s="371">
        <f t="shared" si="7"/>
        <v>1325508</v>
      </c>
      <c r="S31" s="371">
        <v>1325508</v>
      </c>
      <c r="T31" s="371"/>
      <c r="U31" s="367"/>
    </row>
    <row r="32" spans="1:21" s="368" customFormat="1" ht="11.4">
      <c r="A32" s="369" t="s">
        <v>1017</v>
      </c>
      <c r="B32" s="370">
        <f t="shared" si="6"/>
        <v>883672</v>
      </c>
      <c r="C32" s="371">
        <f>1767344/2</f>
        <v>883672</v>
      </c>
      <c r="D32" s="371"/>
      <c r="E32" s="371">
        <f>C32</f>
        <v>883672</v>
      </c>
      <c r="F32" s="371"/>
      <c r="G32" s="371"/>
      <c r="H32" s="371"/>
      <c r="I32" s="371"/>
      <c r="J32" s="371"/>
      <c r="K32" s="371"/>
      <c r="L32" s="371"/>
      <c r="M32" s="371"/>
      <c r="N32" s="371"/>
      <c r="O32" s="371"/>
      <c r="P32" s="371"/>
      <c r="Q32" s="371"/>
      <c r="R32" s="371">
        <f t="shared" si="7"/>
        <v>883672</v>
      </c>
      <c r="S32" s="371">
        <f>C32</f>
        <v>883672</v>
      </c>
      <c r="T32" s="371"/>
      <c r="U32" s="367"/>
    </row>
    <row r="33" spans="1:21" s="368" customFormat="1" ht="11.4">
      <c r="A33" s="369" t="s">
        <v>1018</v>
      </c>
      <c r="B33" s="370">
        <f t="shared" si="6"/>
        <v>883672</v>
      </c>
      <c r="C33" s="371">
        <f>C32</f>
        <v>883672</v>
      </c>
      <c r="D33" s="371"/>
      <c r="E33" s="371">
        <f>C33</f>
        <v>883672</v>
      </c>
      <c r="F33" s="371"/>
      <c r="G33" s="371"/>
      <c r="H33" s="371"/>
      <c r="I33" s="371"/>
      <c r="J33" s="371"/>
      <c r="K33" s="371"/>
      <c r="L33" s="371"/>
      <c r="M33" s="371"/>
      <c r="N33" s="371"/>
      <c r="O33" s="371"/>
      <c r="P33" s="371"/>
      <c r="Q33" s="371"/>
      <c r="R33" s="371">
        <f t="shared" si="7"/>
        <v>883672</v>
      </c>
      <c r="S33" s="371">
        <f>C33</f>
        <v>883672</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ht="11.4">
      <c r="A36" s="380" t="s">
        <v>2248</v>
      </c>
      <c r="B36" s="370">
        <f t="shared" si="6"/>
        <v>109000</v>
      </c>
      <c r="C36" s="371">
        <v>109000</v>
      </c>
      <c r="D36" s="371"/>
      <c r="E36" s="371">
        <v>109000</v>
      </c>
      <c r="F36" s="371"/>
      <c r="G36" s="371"/>
      <c r="H36" s="371"/>
      <c r="I36" s="371"/>
      <c r="J36" s="371"/>
      <c r="K36" s="371"/>
      <c r="L36" s="371"/>
      <c r="M36" s="371"/>
      <c r="N36" s="371"/>
      <c r="O36" s="371"/>
      <c r="P36" s="371"/>
      <c r="Q36" s="371"/>
      <c r="R36" s="371">
        <f t="shared" si="7"/>
        <v>109000</v>
      </c>
      <c r="S36" s="371">
        <v>109000</v>
      </c>
      <c r="T36" s="371"/>
      <c r="U36" s="367"/>
    </row>
    <row r="37" spans="1:21" s="368" customFormat="1" ht="11.4">
      <c r="A37" s="376" t="s">
        <v>2470</v>
      </c>
      <c r="B37" s="370">
        <f t="shared" si="6"/>
        <v>10000</v>
      </c>
      <c r="C37" s="371">
        <v>10000</v>
      </c>
      <c r="D37" s="371"/>
      <c r="E37" s="371">
        <v>10000</v>
      </c>
      <c r="F37" s="371"/>
      <c r="G37" s="371"/>
      <c r="H37" s="371"/>
      <c r="I37" s="371"/>
      <c r="J37" s="371"/>
      <c r="K37" s="371"/>
      <c r="L37" s="371"/>
      <c r="M37" s="371"/>
      <c r="N37" s="371"/>
      <c r="O37" s="371"/>
      <c r="P37" s="371"/>
      <c r="Q37" s="371"/>
      <c r="R37" s="371">
        <f t="shared" si="7"/>
        <v>10000</v>
      </c>
      <c r="S37" s="371"/>
      <c r="T37" s="371"/>
      <c r="U37" s="367"/>
    </row>
    <row r="38" spans="1:21" s="368" customFormat="1">
      <c r="A38" s="373" t="s">
        <v>1023</v>
      </c>
      <c r="B38" s="370">
        <f t="shared" si="6"/>
        <v>25238652</v>
      </c>
      <c r="C38" s="370">
        <f>SUM(C29:C37)</f>
        <v>25238652</v>
      </c>
      <c r="D38" s="370">
        <f>SUM(D29:D37)</f>
        <v>0</v>
      </c>
      <c r="E38" s="370">
        <f>SUM(E29:E37)</f>
        <v>15781608</v>
      </c>
      <c r="F38" s="370">
        <f t="shared" ref="F38:T38" si="8">SUM(F29:F37)</f>
        <v>8407426</v>
      </c>
      <c r="G38" s="370">
        <f t="shared" si="8"/>
        <v>0</v>
      </c>
      <c r="H38" s="370">
        <f t="shared" si="8"/>
        <v>0</v>
      </c>
      <c r="I38" s="370">
        <f t="shared" si="8"/>
        <v>0</v>
      </c>
      <c r="J38" s="370">
        <f t="shared" si="8"/>
        <v>1049618</v>
      </c>
      <c r="K38" s="370">
        <f t="shared" si="8"/>
        <v>0</v>
      </c>
      <c r="L38" s="370">
        <f t="shared" si="8"/>
        <v>0</v>
      </c>
      <c r="M38" s="370">
        <f t="shared" si="8"/>
        <v>0</v>
      </c>
      <c r="N38" s="370">
        <f t="shared" si="8"/>
        <v>0</v>
      </c>
      <c r="O38" s="370">
        <f t="shared" si="8"/>
        <v>0</v>
      </c>
      <c r="P38" s="370">
        <f t="shared" si="8"/>
        <v>0</v>
      </c>
      <c r="Q38" s="370">
        <f t="shared" si="8"/>
        <v>0</v>
      </c>
      <c r="R38" s="370">
        <f t="shared" si="8"/>
        <v>25238652</v>
      </c>
      <c r="S38" s="374">
        <f t="shared" si="8"/>
        <v>25228652</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917654</v>
      </c>
      <c r="C40" s="371">
        <v>917654</v>
      </c>
      <c r="D40" s="371"/>
      <c r="E40" s="371">
        <v>917654</v>
      </c>
      <c r="F40" s="371"/>
      <c r="G40" s="371"/>
      <c r="H40" s="371"/>
      <c r="I40" s="371"/>
      <c r="J40" s="371"/>
      <c r="K40" s="371"/>
      <c r="L40" s="371"/>
      <c r="M40" s="371"/>
      <c r="N40" s="371"/>
      <c r="O40" s="371"/>
      <c r="P40" s="371"/>
      <c r="Q40" s="371"/>
      <c r="R40" s="371">
        <f>SUM(E40:Q40)</f>
        <v>917654</v>
      </c>
      <c r="S40" s="371">
        <v>917654</v>
      </c>
      <c r="T40" s="371"/>
      <c r="U40" s="367"/>
    </row>
    <row r="41" spans="1:21" s="368" customFormat="1" ht="11.4">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917654</v>
      </c>
      <c r="C42" s="370">
        <f>SUM(C39:C41)</f>
        <v>917654</v>
      </c>
      <c r="D42" s="370">
        <f>SUM(D39:D41)</f>
        <v>0</v>
      </c>
      <c r="E42" s="370">
        <f t="shared" ref="E42:T42" si="9">SUM(E40:E41)</f>
        <v>917654</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917654</v>
      </c>
      <c r="S42" s="374">
        <f t="shared" si="9"/>
        <v>917654</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1256417</v>
      </c>
      <c r="C45" s="371">
        <v>1256417</v>
      </c>
      <c r="D45" s="371"/>
      <c r="E45" s="371">
        <v>1256417</v>
      </c>
      <c r="F45" s="371"/>
      <c r="G45" s="371"/>
      <c r="H45" s="371"/>
      <c r="I45" s="371"/>
      <c r="J45" s="371"/>
      <c r="K45" s="371"/>
      <c r="L45" s="371"/>
      <c r="M45" s="371"/>
      <c r="N45" s="371"/>
      <c r="O45" s="371"/>
      <c r="P45" s="371"/>
      <c r="Q45" s="371"/>
      <c r="R45" s="371">
        <f t="shared" ref="R45:R52" si="11">SUM(E45:Q45)</f>
        <v>1256417</v>
      </c>
      <c r="S45" s="371">
        <v>865543</v>
      </c>
      <c r="T45" s="371"/>
      <c r="U45" s="367"/>
    </row>
    <row r="46" spans="1:21" s="368" customFormat="1" ht="11.4">
      <c r="A46" s="369" t="s">
        <v>1031</v>
      </c>
      <c r="B46" s="370">
        <f t="shared" si="10"/>
        <v>284371</v>
      </c>
      <c r="C46" s="371">
        <v>284371</v>
      </c>
      <c r="D46" s="371"/>
      <c r="E46" s="371">
        <v>284371</v>
      </c>
      <c r="F46" s="371"/>
      <c r="G46" s="371"/>
      <c r="H46" s="371"/>
      <c r="I46" s="371"/>
      <c r="J46" s="371"/>
      <c r="K46" s="371"/>
      <c r="L46" s="371"/>
      <c r="M46" s="371"/>
      <c r="N46" s="371"/>
      <c r="O46" s="371"/>
      <c r="P46" s="371"/>
      <c r="Q46" s="371"/>
      <c r="R46" s="371">
        <f t="shared" si="11"/>
        <v>284371</v>
      </c>
      <c r="S46" s="371">
        <v>195903</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1033</v>
      </c>
      <c r="B48" s="370">
        <f t="shared" si="10"/>
        <v>251847</v>
      </c>
      <c r="C48" s="371">
        <v>251847</v>
      </c>
      <c r="D48" s="371"/>
      <c r="E48" s="371">
        <v>251847</v>
      </c>
      <c r="F48" s="371"/>
      <c r="G48" s="371"/>
      <c r="H48" s="371"/>
      <c r="I48" s="371"/>
      <c r="J48" s="371"/>
      <c r="K48" s="371"/>
      <c r="L48" s="371"/>
      <c r="M48" s="371"/>
      <c r="N48" s="371"/>
      <c r="O48" s="371"/>
      <c r="P48" s="371"/>
      <c r="Q48" s="371"/>
      <c r="R48" s="371">
        <f t="shared" si="11"/>
        <v>251847</v>
      </c>
      <c r="S48" s="371">
        <v>251847</v>
      </c>
      <c r="T48" s="371"/>
      <c r="U48" s="367"/>
    </row>
    <row r="49" spans="1:21" s="368" customFormat="1" ht="11.4">
      <c r="A49" s="369" t="s">
        <v>1036</v>
      </c>
      <c r="B49" s="370">
        <f t="shared" si="10"/>
        <v>40000</v>
      </c>
      <c r="C49" s="371">
        <f>60000-C57</f>
        <v>40000</v>
      </c>
      <c r="D49" s="371"/>
      <c r="E49" s="371">
        <f>C49</f>
        <v>40000</v>
      </c>
      <c r="F49" s="371"/>
      <c r="G49" s="371"/>
      <c r="H49" s="371"/>
      <c r="I49" s="371"/>
      <c r="J49" s="371"/>
      <c r="K49" s="371"/>
      <c r="L49" s="371"/>
      <c r="M49" s="371"/>
      <c r="N49" s="371"/>
      <c r="O49" s="371"/>
      <c r="P49" s="371"/>
      <c r="Q49" s="371"/>
      <c r="R49" s="371">
        <f>C49</f>
        <v>40000</v>
      </c>
      <c r="S49" s="371">
        <v>25000</v>
      </c>
      <c r="T49" s="371"/>
      <c r="U49" s="367"/>
    </row>
    <row r="50" spans="1:21" s="368" customFormat="1" ht="11.4">
      <c r="A50" s="369" t="s">
        <v>1034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ht="11.4">
      <c r="A51" s="369" t="s">
        <v>1035</v>
      </c>
      <c r="B51" s="370">
        <f t="shared" si="10"/>
        <v>440731</v>
      </c>
      <c r="C51" s="371">
        <v>440731</v>
      </c>
      <c r="D51" s="371"/>
      <c r="E51" s="371">
        <v>440731</v>
      </c>
      <c r="F51" s="371"/>
      <c r="G51" s="371"/>
      <c r="H51" s="371"/>
      <c r="I51" s="371"/>
      <c r="J51" s="371"/>
      <c r="K51" s="371"/>
      <c r="L51" s="371"/>
      <c r="M51" s="371"/>
      <c r="N51" s="371"/>
      <c r="O51" s="371"/>
      <c r="P51" s="371"/>
      <c r="Q51" s="371"/>
      <c r="R51" s="371">
        <f t="shared" si="11"/>
        <v>440731</v>
      </c>
      <c r="S51" s="371">
        <v>440731</v>
      </c>
      <c r="T51" s="371"/>
      <c r="U51" s="367"/>
    </row>
    <row r="52" spans="1:21" s="368" customFormat="1" ht="11.4">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2273366</v>
      </c>
      <c r="C53" s="374">
        <f t="shared" ref="C53:T53" si="12">SUM(C45:C52)</f>
        <v>2273366</v>
      </c>
      <c r="D53" s="374">
        <f t="shared" si="12"/>
        <v>0</v>
      </c>
      <c r="E53" s="374">
        <f t="shared" si="12"/>
        <v>2273366</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2273366</v>
      </c>
      <c r="S53" s="374">
        <f t="shared" si="12"/>
        <v>1779024</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84074</v>
      </c>
      <c r="C55" s="371">
        <v>84074</v>
      </c>
      <c r="D55" s="371"/>
      <c r="E55" s="371">
        <v>84074</v>
      </c>
      <c r="F55" s="371"/>
      <c r="G55" s="371"/>
      <c r="H55" s="371"/>
      <c r="I55" s="371"/>
      <c r="J55" s="371"/>
      <c r="K55" s="371"/>
      <c r="L55" s="371"/>
      <c r="M55" s="371"/>
      <c r="N55" s="371"/>
      <c r="O55" s="371"/>
      <c r="P55" s="371"/>
      <c r="Q55" s="371"/>
      <c r="R55" s="371">
        <f>SUM(E55:Q55)</f>
        <v>84074</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ht="11.4">
      <c r="A57" s="369" t="s">
        <v>1036</v>
      </c>
      <c r="B57" s="370">
        <f t="shared" si="13"/>
        <v>20000</v>
      </c>
      <c r="C57" s="371">
        <v>20000</v>
      </c>
      <c r="D57" s="371"/>
      <c r="E57" s="371">
        <f>C57</f>
        <v>20000</v>
      </c>
      <c r="F57" s="371"/>
      <c r="G57" s="371"/>
      <c r="H57" s="371"/>
      <c r="I57" s="371"/>
      <c r="J57" s="371"/>
      <c r="K57" s="371"/>
      <c r="L57" s="371"/>
      <c r="M57" s="371"/>
      <c r="N57" s="371"/>
      <c r="O57" s="371"/>
      <c r="P57" s="371"/>
      <c r="Q57" s="371"/>
      <c r="R57" s="371">
        <f t="shared" si="14"/>
        <v>20000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5" customHeight="1">
      <c r="A61" s="373" t="s">
        <v>549</v>
      </c>
      <c r="B61" s="370">
        <f>SUM(C61:D61)</f>
        <v>104074</v>
      </c>
      <c r="C61" s="370">
        <f t="shared" ref="C61:R61" si="15">SUM(C55:C60)</f>
        <v>104074</v>
      </c>
      <c r="D61" s="370">
        <f t="shared" si="15"/>
        <v>0</v>
      </c>
      <c r="E61" s="370">
        <f t="shared" si="15"/>
        <v>104074</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104074</v>
      </c>
      <c r="S61" s="372"/>
      <c r="T61" s="372"/>
      <c r="U61" s="367"/>
    </row>
    <row r="62" spans="1:21" s="368" customFormat="1" ht="11.4">
      <c r="A62" s="379" t="s">
        <v>550</v>
      </c>
      <c r="B62" s="370">
        <f>SUM(C62:D62)</f>
        <v>32653528</v>
      </c>
      <c r="C62" s="370">
        <f t="shared" ref="C62:R62" si="16">SUM(C8+C11+C13+C14+C15+C26+C27+C38+C42+C43+C53+C61)</f>
        <v>32653528</v>
      </c>
      <c r="D62" s="370">
        <f t="shared" si="16"/>
        <v>0</v>
      </c>
      <c r="E62" s="370">
        <f t="shared" si="16"/>
        <v>19076702</v>
      </c>
      <c r="F62" s="370">
        <f t="shared" si="16"/>
        <v>8407426</v>
      </c>
      <c r="G62" s="370">
        <f t="shared" si="16"/>
        <v>3280000</v>
      </c>
      <c r="H62" s="370">
        <f t="shared" si="16"/>
        <v>0</v>
      </c>
      <c r="I62" s="370">
        <f t="shared" si="16"/>
        <v>0</v>
      </c>
      <c r="J62" s="370">
        <f t="shared" si="16"/>
        <v>1889400</v>
      </c>
      <c r="K62" s="370">
        <f t="shared" si="16"/>
        <v>0</v>
      </c>
      <c r="L62" s="370">
        <f t="shared" si="16"/>
        <v>0</v>
      </c>
      <c r="M62" s="370">
        <f t="shared" si="16"/>
        <v>0</v>
      </c>
      <c r="N62" s="370">
        <f t="shared" si="16"/>
        <v>0</v>
      </c>
      <c r="O62" s="370">
        <f t="shared" si="16"/>
        <v>0</v>
      </c>
      <c r="P62" s="370">
        <f t="shared" si="16"/>
        <v>0</v>
      </c>
      <c r="Q62" s="370">
        <f t="shared" si="16"/>
        <v>0</v>
      </c>
      <c r="R62" s="370">
        <f t="shared" si="16"/>
        <v>32653528</v>
      </c>
      <c r="S62" s="370">
        <f>SUM(S10+S13+S14+S15+S26+S27+S38+S42+S43+S53)</f>
        <v>27980330</v>
      </c>
      <c r="T62" s="370">
        <f>SUM(T11+T13+T14+T15+T26+T27+T38+T42+T43+T53)</f>
        <v>0</v>
      </c>
      <c r="U62" s="367"/>
    </row>
    <row r="63" spans="1:21" s="368" customFormat="1" ht="22.8">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0</v>
      </c>
      <c r="C64" s="371"/>
      <c r="D64" s="371"/>
      <c r="E64" s="371"/>
      <c r="F64" s="371"/>
      <c r="G64" s="371"/>
      <c r="H64" s="371"/>
      <c r="I64" s="371"/>
      <c r="J64" s="371"/>
      <c r="K64" s="371"/>
      <c r="L64" s="371"/>
      <c r="M64" s="371"/>
      <c r="N64" s="371"/>
      <c r="O64" s="371"/>
      <c r="P64" s="371"/>
      <c r="Q64" s="371"/>
      <c r="R64" s="371"/>
      <c r="S64" s="371"/>
      <c r="T64" s="371"/>
      <c r="U64" s="367"/>
    </row>
    <row r="65" spans="1:21" s="368" customFormat="1" ht="22.8">
      <c r="A65" s="369" t="s">
        <v>2250</v>
      </c>
      <c r="B65" s="370">
        <f>SUM(C65+D65)</f>
        <v>100000</v>
      </c>
      <c r="C65" s="371">
        <v>100000</v>
      </c>
      <c r="D65" s="371"/>
      <c r="E65" s="371">
        <v>100000</v>
      </c>
      <c r="F65" s="371"/>
      <c r="G65" s="371"/>
      <c r="H65" s="371"/>
      <c r="I65" s="371"/>
      <c r="J65" s="371"/>
      <c r="K65" s="371"/>
      <c r="L65" s="371"/>
      <c r="M65" s="371"/>
      <c r="N65" s="371"/>
      <c r="O65" s="371"/>
      <c r="P65" s="371"/>
      <c r="Q65" s="371"/>
      <c r="R65" s="371">
        <f>SUM(E65:Q65)</f>
        <v>100000</v>
      </c>
      <c r="S65" s="371">
        <v>100000</v>
      </c>
      <c r="T65" s="371"/>
      <c r="U65" s="367"/>
    </row>
    <row r="66" spans="1:21" s="368" customFormat="1" ht="22.8">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382</v>
      </c>
      <c r="B68" s="370">
        <f>SUM(C68+D68)</f>
        <v>192805</v>
      </c>
      <c r="C68" s="371">
        <v>192805</v>
      </c>
      <c r="D68" s="371"/>
      <c r="E68" s="371">
        <f>C68</f>
        <v>192805</v>
      </c>
      <c r="F68" s="371"/>
      <c r="G68" s="371"/>
      <c r="H68" s="371"/>
      <c r="I68" s="371"/>
      <c r="J68" s="371"/>
      <c r="K68" s="371"/>
      <c r="L68" s="371"/>
      <c r="M68" s="371"/>
      <c r="N68" s="371"/>
      <c r="O68" s="371"/>
      <c r="P68" s="371"/>
      <c r="Q68" s="371"/>
      <c r="R68" s="371">
        <f>SUM(E68:Q68)</f>
        <v>192805</v>
      </c>
      <c r="S68" s="371">
        <v>97346</v>
      </c>
      <c r="T68" s="371"/>
      <c r="U68" s="367"/>
    </row>
    <row r="69" spans="1:21" s="368" customFormat="1">
      <c r="A69" s="373" t="s">
        <v>2253</v>
      </c>
      <c r="B69" s="370">
        <f>SUM(C69:D69)</f>
        <v>292805</v>
      </c>
      <c r="C69" s="370">
        <f>SUM(C63:C68)</f>
        <v>292805</v>
      </c>
      <c r="D69" s="370">
        <f>SUM(D63:D68)</f>
        <v>0</v>
      </c>
      <c r="E69" s="370">
        <f t="shared" ref="E69:T69" si="17">SUM(E64:E68)</f>
        <v>292805</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292805</v>
      </c>
      <c r="S69" s="374">
        <f t="shared" si="17"/>
        <v>197346</v>
      </c>
      <c r="T69" s="374">
        <f t="shared" si="17"/>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8"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285409</v>
      </c>
      <c r="C74" s="371">
        <v>285409</v>
      </c>
      <c r="D74" s="371"/>
      <c r="E74" s="371">
        <f>C74</f>
        <v>285409</v>
      </c>
      <c r="F74" s="371"/>
      <c r="G74" s="371"/>
      <c r="H74" s="371"/>
      <c r="I74" s="371"/>
      <c r="J74" s="371"/>
      <c r="K74" s="371"/>
      <c r="L74" s="371"/>
      <c r="M74" s="371"/>
      <c r="N74" s="371"/>
      <c r="O74" s="371"/>
      <c r="P74" s="371"/>
      <c r="Q74" s="371"/>
      <c r="R74" s="371">
        <f>SUM(E74:Q74)</f>
        <v>285409</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285409</v>
      </c>
      <c r="C76" s="370">
        <f t="shared" ref="C76:Q76" si="18">SUM(C71:C75)</f>
        <v>285409</v>
      </c>
      <c r="D76" s="370">
        <f t="shared" si="18"/>
        <v>0</v>
      </c>
      <c r="E76" s="370">
        <f>SUM(E71:E75)</f>
        <v>285409</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285409</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1971</v>
      </c>
      <c r="B78" s="370">
        <f>SUM(C78+D78)</f>
        <v>1271825</v>
      </c>
      <c r="C78" s="371">
        <v>1271825</v>
      </c>
      <c r="D78" s="371"/>
      <c r="E78" s="371">
        <v>1271825</v>
      </c>
      <c r="F78" s="371"/>
      <c r="G78" s="371"/>
      <c r="H78" s="371"/>
      <c r="I78" s="371"/>
      <c r="J78" s="371"/>
      <c r="K78" s="371"/>
      <c r="L78" s="371"/>
      <c r="M78" s="371"/>
      <c r="N78" s="371"/>
      <c r="O78" s="371"/>
      <c r="P78" s="371"/>
      <c r="Q78" s="371"/>
      <c r="R78" s="371">
        <f>SUM(E78:Q78)</f>
        <v>1271825</v>
      </c>
      <c r="S78" s="371">
        <v>1271825</v>
      </c>
      <c r="T78" s="371"/>
      <c r="U78" s="367"/>
    </row>
    <row r="79" spans="1:21" s="368" customFormat="1" ht="11.4">
      <c r="A79" s="369" t="s">
        <v>597</v>
      </c>
      <c r="B79" s="370">
        <f>SUM(C79+D79)</f>
        <v>250000</v>
      </c>
      <c r="C79" s="371">
        <v>250000</v>
      </c>
      <c r="D79" s="371"/>
      <c r="E79" s="371">
        <v>250000</v>
      </c>
      <c r="F79" s="371"/>
      <c r="G79" s="371"/>
      <c r="H79" s="371"/>
      <c r="I79" s="371"/>
      <c r="J79" s="371"/>
      <c r="K79" s="371"/>
      <c r="L79" s="371"/>
      <c r="M79" s="371"/>
      <c r="N79" s="371"/>
      <c r="O79" s="371"/>
      <c r="P79" s="371"/>
      <c r="Q79" s="371"/>
      <c r="R79" s="371">
        <f>SUM(E79:Q79)</f>
        <v>250000</v>
      </c>
      <c r="S79" s="371">
        <v>125000</v>
      </c>
      <c r="T79" s="371"/>
      <c r="U79" s="367"/>
    </row>
    <row r="80" spans="1:21" s="368" customFormat="1">
      <c r="A80" s="373" t="s">
        <v>1972</v>
      </c>
      <c r="B80" s="370">
        <f>SUM(C80:D80)</f>
        <v>1521825</v>
      </c>
      <c r="C80" s="1122">
        <f>SUM(C78:C79)</f>
        <v>1521825</v>
      </c>
      <c r="D80" s="1122">
        <f t="shared" ref="D80:R80" si="19">SUM(D78:D79)</f>
        <v>0</v>
      </c>
      <c r="E80" s="1122">
        <f t="shared" si="19"/>
        <v>1521825</v>
      </c>
      <c r="F80" s="1122">
        <f t="shared" si="19"/>
        <v>0</v>
      </c>
      <c r="G80" s="1122">
        <f t="shared" si="19"/>
        <v>0</v>
      </c>
      <c r="H80" s="1122">
        <f t="shared" si="19"/>
        <v>0</v>
      </c>
      <c r="I80" s="1122">
        <f t="shared" si="19"/>
        <v>0</v>
      </c>
      <c r="J80" s="1122">
        <f t="shared" si="19"/>
        <v>0</v>
      </c>
      <c r="K80" s="1122">
        <f t="shared" si="19"/>
        <v>0</v>
      </c>
      <c r="L80" s="1122">
        <f t="shared" si="19"/>
        <v>0</v>
      </c>
      <c r="M80" s="1122">
        <f t="shared" si="19"/>
        <v>0</v>
      </c>
      <c r="N80" s="1122">
        <f t="shared" si="19"/>
        <v>0</v>
      </c>
      <c r="O80" s="1122">
        <f t="shared" si="19"/>
        <v>0</v>
      </c>
      <c r="P80" s="1122">
        <f t="shared" si="19"/>
        <v>0</v>
      </c>
      <c r="Q80" s="1122">
        <f t="shared" si="19"/>
        <v>0</v>
      </c>
      <c r="R80" s="1122">
        <f t="shared" si="19"/>
        <v>1521825</v>
      </c>
      <c r="S80" s="1122">
        <f t="shared" ref="S80" si="20">SUM(S78:S79)</f>
        <v>1396825</v>
      </c>
      <c r="T80" s="1122">
        <f t="shared" ref="T80" si="21">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113053</v>
      </c>
      <c r="C82" s="371">
        <v>113053</v>
      </c>
      <c r="D82" s="371"/>
      <c r="E82" s="371">
        <v>113053</v>
      </c>
      <c r="F82" s="371"/>
      <c r="G82" s="371"/>
      <c r="H82" s="371"/>
      <c r="I82" s="371"/>
      <c r="J82" s="371"/>
      <c r="K82" s="371"/>
      <c r="L82" s="371"/>
      <c r="M82" s="371"/>
      <c r="N82" s="371"/>
      <c r="O82" s="371"/>
      <c r="P82" s="371"/>
      <c r="Q82" s="371"/>
      <c r="R82" s="371">
        <f>SUM(E82:Q82)</f>
        <v>113053</v>
      </c>
      <c r="S82" s="372"/>
      <c r="T82" s="372"/>
      <c r="U82" s="367"/>
    </row>
    <row r="83" spans="1:21" s="368" customFormat="1" ht="11.4">
      <c r="A83" s="369" t="s">
        <v>575</v>
      </c>
      <c r="B83" s="370">
        <f t="shared" ref="B83:B93" si="22">SUM(C83+D83)</f>
        <v>0</v>
      </c>
      <c r="C83" s="371"/>
      <c r="D83" s="371"/>
      <c r="E83" s="371"/>
      <c r="F83" s="371"/>
      <c r="G83" s="371"/>
      <c r="H83" s="371"/>
      <c r="I83" s="371"/>
      <c r="J83" s="371"/>
      <c r="K83" s="371"/>
      <c r="L83" s="371"/>
      <c r="M83" s="371"/>
      <c r="N83" s="371"/>
      <c r="O83" s="371"/>
      <c r="P83" s="371"/>
      <c r="Q83" s="371"/>
      <c r="R83" s="371">
        <f t="shared" ref="R83:R93" si="23">SUM(E83:Q83)</f>
        <v>0</v>
      </c>
      <c r="S83" s="371"/>
      <c r="T83" s="371"/>
      <c r="U83" s="367"/>
    </row>
    <row r="84" spans="1:21" s="368" customFormat="1" ht="11.4">
      <c r="A84" s="369" t="s">
        <v>576</v>
      </c>
      <c r="B84" s="370">
        <f t="shared" si="22"/>
        <v>1225051</v>
      </c>
      <c r="C84" s="371">
        <v>1225051</v>
      </c>
      <c r="D84" s="371"/>
      <c r="E84" s="371">
        <f>C84-H84</f>
        <v>960051</v>
      </c>
      <c r="F84" s="371"/>
      <c r="G84" s="371"/>
      <c r="H84" s="371">
        <v>265000</v>
      </c>
      <c r="I84" s="371"/>
      <c r="J84" s="371"/>
      <c r="K84" s="371"/>
      <c r="L84" s="371"/>
      <c r="M84" s="371"/>
      <c r="N84" s="371"/>
      <c r="O84" s="371"/>
      <c r="P84" s="371"/>
      <c r="Q84" s="371"/>
      <c r="R84" s="371">
        <f t="shared" si="23"/>
        <v>1225051</v>
      </c>
      <c r="S84" s="371">
        <v>1225051</v>
      </c>
      <c r="T84" s="371"/>
      <c r="U84" s="367"/>
    </row>
    <row r="85" spans="1:21" s="368" customFormat="1" ht="11.4">
      <c r="A85" s="369" t="s">
        <v>577</v>
      </c>
      <c r="B85" s="370">
        <f t="shared" si="22"/>
        <v>390128</v>
      </c>
      <c r="C85" s="371">
        <v>390128</v>
      </c>
      <c r="D85" s="371"/>
      <c r="E85" s="371">
        <f>C85</f>
        <v>390128</v>
      </c>
      <c r="F85" s="371"/>
      <c r="G85" s="371"/>
      <c r="H85" s="371"/>
      <c r="I85" s="371"/>
      <c r="J85" s="371"/>
      <c r="K85" s="371"/>
      <c r="L85" s="371"/>
      <c r="M85" s="371"/>
      <c r="N85" s="371"/>
      <c r="O85" s="371"/>
      <c r="P85" s="371"/>
      <c r="Q85" s="371"/>
      <c r="R85" s="371">
        <f t="shared" si="23"/>
        <v>390128</v>
      </c>
      <c r="S85" s="371">
        <f>C85</f>
        <v>390128</v>
      </c>
      <c r="T85" s="371"/>
      <c r="U85" s="367"/>
    </row>
    <row r="86" spans="1:21" s="368" customFormat="1" ht="11.4">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ht="11.4">
      <c r="A87" s="369" t="s">
        <v>579</v>
      </c>
      <c r="B87" s="370">
        <f t="shared" si="22"/>
        <v>20000</v>
      </c>
      <c r="C87" s="371">
        <v>20000</v>
      </c>
      <c r="D87" s="371"/>
      <c r="E87" s="371">
        <v>20000</v>
      </c>
      <c r="F87" s="371"/>
      <c r="G87" s="371"/>
      <c r="H87" s="371"/>
      <c r="I87" s="371"/>
      <c r="J87" s="371"/>
      <c r="K87" s="371"/>
      <c r="L87" s="371"/>
      <c r="M87" s="371"/>
      <c r="N87" s="371"/>
      <c r="O87" s="371"/>
      <c r="P87" s="371"/>
      <c r="Q87" s="371"/>
      <c r="R87" s="371">
        <f t="shared" si="23"/>
        <v>20000</v>
      </c>
      <c r="S87" s="372"/>
      <c r="T87" s="372"/>
      <c r="U87" s="367"/>
    </row>
    <row r="88" spans="1:21" s="368" customFormat="1" ht="11.4">
      <c r="A88" s="369" t="s">
        <v>580</v>
      </c>
      <c r="B88" s="370">
        <f t="shared" si="22"/>
        <v>141000</v>
      </c>
      <c r="C88" s="371">
        <v>141000</v>
      </c>
      <c r="D88" s="371"/>
      <c r="E88" s="371">
        <v>141000</v>
      </c>
      <c r="F88" s="371"/>
      <c r="G88" s="371"/>
      <c r="H88" s="371"/>
      <c r="I88" s="371"/>
      <c r="J88" s="371"/>
      <c r="K88" s="371"/>
      <c r="L88" s="371"/>
      <c r="M88" s="371"/>
      <c r="N88" s="371"/>
      <c r="O88" s="371"/>
      <c r="P88" s="371"/>
      <c r="Q88" s="371"/>
      <c r="R88" s="371">
        <f t="shared" si="23"/>
        <v>141000</v>
      </c>
      <c r="S88" s="371">
        <v>141000</v>
      </c>
      <c r="T88" s="371"/>
      <c r="U88" s="367"/>
    </row>
    <row r="89" spans="1:21" s="368" customFormat="1" ht="11.4">
      <c r="A89" s="369" t="s">
        <v>581</v>
      </c>
      <c r="B89" s="370">
        <f t="shared" si="22"/>
        <v>30000</v>
      </c>
      <c r="C89" s="371">
        <v>30000</v>
      </c>
      <c r="D89" s="371"/>
      <c r="E89" s="371">
        <v>30000</v>
      </c>
      <c r="F89" s="371"/>
      <c r="G89" s="371"/>
      <c r="H89" s="371"/>
      <c r="I89" s="371"/>
      <c r="J89" s="371"/>
      <c r="K89" s="371"/>
      <c r="L89" s="371"/>
      <c r="M89" s="371"/>
      <c r="N89" s="371"/>
      <c r="O89" s="371"/>
      <c r="P89" s="371"/>
      <c r="Q89" s="371"/>
      <c r="R89" s="371">
        <f t="shared" si="23"/>
        <v>30000</v>
      </c>
      <c r="S89" s="371">
        <v>30000</v>
      </c>
      <c r="T89" s="371"/>
      <c r="U89" s="367"/>
    </row>
    <row r="90" spans="1:21" s="368" customFormat="1" ht="11.4">
      <c r="A90" s="380" t="s">
        <v>1456</v>
      </c>
      <c r="B90" s="370">
        <f t="shared" si="22"/>
        <v>25000</v>
      </c>
      <c r="C90" s="371">
        <v>25000</v>
      </c>
      <c r="D90" s="371"/>
      <c r="E90" s="371">
        <v>25000</v>
      </c>
      <c r="F90" s="371"/>
      <c r="G90" s="371"/>
      <c r="H90" s="371"/>
      <c r="I90" s="371"/>
      <c r="J90" s="371"/>
      <c r="K90" s="371"/>
      <c r="L90" s="371"/>
      <c r="M90" s="371"/>
      <c r="N90" s="371"/>
      <c r="O90" s="371"/>
      <c r="P90" s="371"/>
      <c r="Q90" s="371"/>
      <c r="R90" s="371">
        <f t="shared" si="23"/>
        <v>25000</v>
      </c>
      <c r="S90" s="371">
        <v>25000</v>
      </c>
      <c r="T90" s="371"/>
      <c r="U90" s="367"/>
    </row>
    <row r="91" spans="1:21" s="368" customFormat="1" ht="11.4">
      <c r="A91" s="380" t="s">
        <v>1970</v>
      </c>
      <c r="B91" s="370">
        <f t="shared" si="22"/>
        <v>15000</v>
      </c>
      <c r="C91" s="371">
        <v>15000</v>
      </c>
      <c r="D91" s="371"/>
      <c r="E91" s="371">
        <v>15000</v>
      </c>
      <c r="F91" s="371"/>
      <c r="G91" s="371"/>
      <c r="H91" s="371"/>
      <c r="I91" s="371"/>
      <c r="J91" s="371"/>
      <c r="K91" s="371"/>
      <c r="L91" s="371"/>
      <c r="M91" s="371"/>
      <c r="N91" s="371"/>
      <c r="O91" s="371"/>
      <c r="P91" s="371"/>
      <c r="Q91" s="371"/>
      <c r="R91" s="371">
        <f t="shared" si="23"/>
        <v>15000</v>
      </c>
      <c r="S91" s="371"/>
      <c r="T91" s="371"/>
      <c r="U91" s="367"/>
    </row>
    <row r="92" spans="1:21" s="368" customFormat="1" ht="11.4">
      <c r="A92" s="376" t="s">
        <v>2477</v>
      </c>
      <c r="B92" s="370">
        <f t="shared" si="22"/>
        <v>12150</v>
      </c>
      <c r="C92" s="371">
        <v>12150</v>
      </c>
      <c r="D92" s="371"/>
      <c r="E92" s="371">
        <v>12150</v>
      </c>
      <c r="F92" s="371"/>
      <c r="G92" s="371"/>
      <c r="H92" s="371"/>
      <c r="I92" s="371"/>
      <c r="J92" s="371"/>
      <c r="K92" s="371"/>
      <c r="L92" s="371"/>
      <c r="M92" s="371"/>
      <c r="N92" s="371"/>
      <c r="O92" s="371"/>
      <c r="P92" s="371"/>
      <c r="Q92" s="371"/>
      <c r="R92" s="371">
        <f t="shared" si="23"/>
        <v>12150</v>
      </c>
      <c r="S92" s="371">
        <v>12150</v>
      </c>
      <c r="T92" s="371"/>
      <c r="U92" s="367"/>
    </row>
    <row r="93" spans="1:21" s="368" customFormat="1" ht="11.4">
      <c r="A93" s="376" t="s">
        <v>2476</v>
      </c>
      <c r="B93" s="370">
        <f t="shared" si="22"/>
        <v>110600</v>
      </c>
      <c r="C93" s="371">
        <v>110600</v>
      </c>
      <c r="D93" s="371"/>
      <c r="E93" s="371"/>
      <c r="F93" s="371"/>
      <c r="G93" s="371"/>
      <c r="H93" s="371"/>
      <c r="I93" s="371"/>
      <c r="J93" s="371">
        <v>110600</v>
      </c>
      <c r="K93" s="371"/>
      <c r="L93" s="371"/>
      <c r="M93" s="371"/>
      <c r="N93" s="371"/>
      <c r="O93" s="371"/>
      <c r="P93" s="371"/>
      <c r="Q93" s="371"/>
      <c r="R93" s="371">
        <f t="shared" si="23"/>
        <v>110600</v>
      </c>
      <c r="S93" s="371"/>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2081982</v>
      </c>
      <c r="C95" s="370">
        <f t="shared" ref="C95:R95" si="24">SUM(C82:C94)</f>
        <v>2081982</v>
      </c>
      <c r="D95" s="370">
        <f t="shared" si="24"/>
        <v>0</v>
      </c>
      <c r="E95" s="370">
        <f t="shared" si="24"/>
        <v>1706382</v>
      </c>
      <c r="F95" s="370">
        <f t="shared" si="24"/>
        <v>0</v>
      </c>
      <c r="G95" s="370">
        <f t="shared" si="24"/>
        <v>0</v>
      </c>
      <c r="H95" s="370">
        <f t="shared" si="24"/>
        <v>265000</v>
      </c>
      <c r="I95" s="370">
        <f t="shared" si="24"/>
        <v>0</v>
      </c>
      <c r="J95" s="370">
        <f t="shared" si="24"/>
        <v>110600</v>
      </c>
      <c r="K95" s="370">
        <f t="shared" si="24"/>
        <v>0</v>
      </c>
      <c r="L95" s="370">
        <f t="shared" si="24"/>
        <v>0</v>
      </c>
      <c r="M95" s="370">
        <f t="shared" si="24"/>
        <v>0</v>
      </c>
      <c r="N95" s="370">
        <f t="shared" si="24"/>
        <v>0</v>
      </c>
      <c r="O95" s="370">
        <f t="shared" si="24"/>
        <v>0</v>
      </c>
      <c r="P95" s="370">
        <f t="shared" si="24"/>
        <v>0</v>
      </c>
      <c r="Q95" s="370">
        <f t="shared" si="24"/>
        <v>0</v>
      </c>
      <c r="R95" s="370">
        <f t="shared" si="24"/>
        <v>2081982</v>
      </c>
      <c r="S95" s="374">
        <f>SUM(S83:S86,S88:S94)</f>
        <v>1823329</v>
      </c>
      <c r="T95" s="370">
        <f>SUM(T83:T86,T88:T94)</f>
        <v>0</v>
      </c>
      <c r="U95" s="367"/>
    </row>
    <row r="96" spans="1:21" s="368" customFormat="1">
      <c r="A96" s="373" t="s">
        <v>583</v>
      </c>
      <c r="B96" s="370">
        <f>SUM(C96:D96)</f>
        <v>36835549</v>
      </c>
      <c r="C96" s="370">
        <f t="shared" ref="C96:R96" si="25">SUM(C62+C69+C76+C80+C95)</f>
        <v>36835549</v>
      </c>
      <c r="D96" s="370">
        <f t="shared" si="25"/>
        <v>0</v>
      </c>
      <c r="E96" s="370">
        <f t="shared" si="25"/>
        <v>22883123</v>
      </c>
      <c r="F96" s="370">
        <f t="shared" si="25"/>
        <v>8407426</v>
      </c>
      <c r="G96" s="370">
        <f t="shared" si="25"/>
        <v>3280000</v>
      </c>
      <c r="H96" s="370">
        <f t="shared" si="25"/>
        <v>265000</v>
      </c>
      <c r="I96" s="370">
        <f t="shared" si="25"/>
        <v>0</v>
      </c>
      <c r="J96" s="370">
        <f t="shared" si="25"/>
        <v>2000000</v>
      </c>
      <c r="K96" s="370">
        <f t="shared" si="25"/>
        <v>0</v>
      </c>
      <c r="L96" s="370">
        <f t="shared" si="25"/>
        <v>0</v>
      </c>
      <c r="M96" s="370">
        <f t="shared" si="25"/>
        <v>0</v>
      </c>
      <c r="N96" s="370">
        <f t="shared" si="25"/>
        <v>0</v>
      </c>
      <c r="O96" s="370">
        <f t="shared" si="25"/>
        <v>0</v>
      </c>
      <c r="P96" s="370">
        <f t="shared" si="25"/>
        <v>0</v>
      </c>
      <c r="Q96" s="370">
        <f t="shared" si="25"/>
        <v>0</v>
      </c>
      <c r="R96" s="370">
        <f t="shared" si="25"/>
        <v>36835549</v>
      </c>
      <c r="S96" s="374">
        <f>SUM(+S62+S69+S80+S95)</f>
        <v>31397830</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 t="shared" ref="B98:B102" si="26">SUM(C98+D98)</f>
        <v>2000000</v>
      </c>
      <c r="C98" s="371">
        <v>2000000</v>
      </c>
      <c r="D98" s="371"/>
      <c r="E98" s="371">
        <f>C98-I98</f>
        <v>1983515</v>
      </c>
      <c r="F98" s="371"/>
      <c r="G98" s="371"/>
      <c r="H98" s="371"/>
      <c r="I98" s="371">
        <v>16485</v>
      </c>
      <c r="J98" s="371"/>
      <c r="K98" s="371"/>
      <c r="L98" s="371"/>
      <c r="M98" s="371"/>
      <c r="N98" s="371"/>
      <c r="O98" s="371"/>
      <c r="P98" s="371"/>
      <c r="Q98" s="371"/>
      <c r="R98" s="371">
        <f t="shared" ref="R98:R102" si="27">SUM(E98:Q98)</f>
        <v>2000000</v>
      </c>
      <c r="S98" s="371">
        <v>2000000</v>
      </c>
      <c r="T98" s="371"/>
      <c r="U98" s="367"/>
    </row>
    <row r="99" spans="1:21" s="368" customFormat="1" ht="11.4">
      <c r="A99" s="369" t="s">
        <v>2254</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ht="11.4">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ht="11.4">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2000000</v>
      </c>
      <c r="C103" s="370">
        <f t="shared" ref="C103:T103" si="28">SUM(C98:C102)</f>
        <v>2000000</v>
      </c>
      <c r="D103" s="370">
        <f t="shared" si="28"/>
        <v>0</v>
      </c>
      <c r="E103" s="370">
        <f t="shared" si="28"/>
        <v>1983515</v>
      </c>
      <c r="F103" s="370">
        <f t="shared" si="28"/>
        <v>0</v>
      </c>
      <c r="G103" s="370">
        <f t="shared" si="28"/>
        <v>0</v>
      </c>
      <c r="H103" s="370">
        <f t="shared" si="28"/>
        <v>0</v>
      </c>
      <c r="I103" s="370">
        <f t="shared" si="28"/>
        <v>16485</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2000000</v>
      </c>
      <c r="S103" s="374">
        <f t="shared" si="28"/>
        <v>2000000</v>
      </c>
      <c r="T103" s="374">
        <f t="shared" si="28"/>
        <v>0</v>
      </c>
      <c r="U103" s="367"/>
    </row>
    <row r="104" spans="1:21" s="368" customFormat="1">
      <c r="A104" s="373" t="s">
        <v>1283</v>
      </c>
      <c r="B104" s="374">
        <f>SUM(C104:D104)</f>
        <v>38835549</v>
      </c>
      <c r="C104" s="374">
        <f t="shared" ref="C104:R104" si="29">SUM(C96+C103)</f>
        <v>38835549</v>
      </c>
      <c r="D104" s="374">
        <f t="shared" si="29"/>
        <v>0</v>
      </c>
      <c r="E104" s="374">
        <f t="shared" si="29"/>
        <v>24866638</v>
      </c>
      <c r="F104" s="374">
        <f t="shared" si="29"/>
        <v>8407426</v>
      </c>
      <c r="G104" s="374">
        <f t="shared" si="29"/>
        <v>3280000</v>
      </c>
      <c r="H104" s="374">
        <f t="shared" si="29"/>
        <v>265000</v>
      </c>
      <c r="I104" s="374">
        <f t="shared" si="29"/>
        <v>16485</v>
      </c>
      <c r="J104" s="374">
        <f t="shared" si="29"/>
        <v>2000000</v>
      </c>
      <c r="K104" s="374">
        <f t="shared" si="29"/>
        <v>0</v>
      </c>
      <c r="L104" s="374">
        <f t="shared" si="29"/>
        <v>0</v>
      </c>
      <c r="M104" s="374">
        <f t="shared" si="29"/>
        <v>0</v>
      </c>
      <c r="N104" s="374">
        <f t="shared" si="29"/>
        <v>0</v>
      </c>
      <c r="O104" s="374">
        <f t="shared" si="29"/>
        <v>0</v>
      </c>
      <c r="P104" s="374">
        <f t="shared" si="29"/>
        <v>0</v>
      </c>
      <c r="Q104" s="374">
        <f t="shared" si="29"/>
        <v>0</v>
      </c>
      <c r="R104" s="370">
        <f t="shared" si="29"/>
        <v>38835549</v>
      </c>
      <c r="S104" s="374">
        <f>S96+S103</f>
        <v>33397830</v>
      </c>
      <c r="T104" s="374">
        <f>T96+T103</f>
        <v>0</v>
      </c>
      <c r="U104" s="367"/>
    </row>
    <row r="105" spans="1:21" s="383" customFormat="1">
      <c r="A105" s="1308"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33397830</v>
      </c>
      <c r="T106" s="388">
        <f>T104+T105</f>
        <v>0</v>
      </c>
      <c r="U106" s="386"/>
    </row>
    <row r="107" spans="1:21" s="389" customFormat="1">
      <c r="A107" s="387" t="s">
        <v>1226</v>
      </c>
      <c r="B107" s="382"/>
      <c r="C107" s="382"/>
      <c r="D107" s="382"/>
      <c r="E107" s="654">
        <f>Application!AO643</f>
        <v>24866638</v>
      </c>
      <c r="F107" s="654">
        <f>Application!AO630</f>
        <v>8407426</v>
      </c>
      <c r="G107" s="654">
        <f>Application!AO631</f>
        <v>3280000</v>
      </c>
      <c r="H107" s="654">
        <f>Application!AO632</f>
        <v>265000</v>
      </c>
      <c r="I107" s="654">
        <f>Application!AO633</f>
        <v>16485</v>
      </c>
      <c r="J107" s="654">
        <f>Application!AO634</f>
        <v>2000000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1444</v>
      </c>
      <c r="U121" s="882"/>
    </row>
    <row r="122" spans="1:21" s="383" customFormat="1" ht="11.4">
      <c r="A122" s="384" t="s">
        <v>1428</v>
      </c>
      <c r="D122" s="2203" t="s">
        <v>1429</v>
      </c>
      <c r="E122" s="2203"/>
      <c r="F122" s="2203"/>
      <c r="U122" s="386"/>
    </row>
    <row r="123" spans="1:21" s="383" customFormat="1" ht="11.4">
      <c r="A123" s="383" t="s">
        <v>1430</v>
      </c>
      <c r="B123" s="870"/>
      <c r="D123" s="2193" t="s">
        <v>1457</v>
      </c>
      <c r="E123" s="2194"/>
      <c r="F123" s="2194"/>
      <c r="G123" s="2194"/>
      <c r="H123" s="2194"/>
      <c r="I123" s="2194"/>
      <c r="J123" s="2194"/>
      <c r="K123" s="2194"/>
      <c r="L123" s="2194"/>
      <c r="M123" s="2194"/>
      <c r="N123" s="2194"/>
      <c r="O123" s="2194"/>
      <c r="P123" s="2194"/>
      <c r="Q123" s="2194"/>
      <c r="R123" s="2194"/>
      <c r="S123" s="2194"/>
      <c r="U123" s="386"/>
    </row>
    <row r="124" spans="1:21" s="383" customFormat="1" ht="13.2">
      <c r="A124" s="873" t="s">
        <v>1431</v>
      </c>
      <c r="B124" s="870"/>
      <c r="C124" s="873"/>
      <c r="D124" s="2194"/>
      <c r="E124" s="2194"/>
      <c r="F124" s="2194"/>
      <c r="G124" s="2194"/>
      <c r="H124" s="2194"/>
      <c r="I124" s="2194"/>
      <c r="J124" s="2194"/>
      <c r="K124" s="2194"/>
      <c r="L124" s="2194"/>
      <c r="M124" s="2194"/>
      <c r="N124" s="2194"/>
      <c r="O124" s="2194"/>
      <c r="P124" s="2194"/>
      <c r="Q124" s="2194"/>
      <c r="R124" s="2194"/>
      <c r="S124" s="2194"/>
      <c r="U124" s="386"/>
    </row>
    <row r="125" spans="1:21" s="383" customFormat="1" ht="13.2">
      <c r="A125" s="873" t="s">
        <v>1432</v>
      </c>
      <c r="B125" s="870"/>
      <c r="C125" s="873"/>
      <c r="D125" s="2194"/>
      <c r="E125" s="2194"/>
      <c r="F125" s="2194"/>
      <c r="G125" s="2194"/>
      <c r="H125" s="2194"/>
      <c r="I125" s="2194"/>
      <c r="J125" s="2194"/>
      <c r="K125" s="2194"/>
      <c r="L125" s="2194"/>
      <c r="M125" s="2194"/>
      <c r="N125" s="2194"/>
      <c r="O125" s="2194"/>
      <c r="P125" s="2194"/>
      <c r="Q125" s="2194"/>
      <c r="R125" s="2194"/>
      <c r="S125" s="2194"/>
      <c r="U125" s="386"/>
    </row>
    <row r="126" spans="1:21" s="383" customFormat="1" ht="13.2">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1435</v>
      </c>
      <c r="B128" s="870"/>
      <c r="C128" s="873"/>
      <c r="D128" s="2201"/>
      <c r="E128" s="2201"/>
      <c r="F128" s="2201"/>
      <c r="G128" s="2201"/>
      <c r="H128" s="2201"/>
      <c r="I128" s="873"/>
      <c r="J128" s="2192"/>
      <c r="K128" s="2192"/>
      <c r="L128" s="873"/>
      <c r="M128" s="873"/>
      <c r="N128" s="873"/>
      <c r="O128" s="873"/>
      <c r="P128" s="873"/>
      <c r="Q128" s="873"/>
      <c r="R128" s="873"/>
      <c r="S128" s="873"/>
      <c r="U128" s="386"/>
    </row>
    <row r="129" spans="1:21" s="383" customFormat="1" ht="13.2">
      <c r="A129" s="873" t="s">
        <v>548</v>
      </c>
      <c r="B129" s="870"/>
      <c r="C129" s="873"/>
      <c r="D129" s="2202" t="s">
        <v>1436</v>
      </c>
      <c r="E129" s="2202"/>
      <c r="F129" s="2202"/>
      <c r="G129" s="2202"/>
      <c r="H129" s="2202"/>
      <c r="I129" s="873"/>
      <c r="J129" s="873" t="s">
        <v>1437</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1438</v>
      </c>
      <c r="B131" s="871">
        <f>SUM(B123:B129)</f>
        <v>0</v>
      </c>
      <c r="C131" s="873"/>
      <c r="D131" s="2035"/>
      <c r="E131" s="2035"/>
      <c r="F131" s="2035"/>
      <c r="G131" s="2035"/>
      <c r="H131" s="2035"/>
      <c r="I131" s="873"/>
      <c r="J131" s="2035"/>
      <c r="K131" s="2035"/>
      <c r="L131" s="2035"/>
      <c r="M131" s="2035"/>
      <c r="N131" s="873"/>
      <c r="O131" s="873"/>
      <c r="P131" s="873"/>
      <c r="Q131" s="873"/>
      <c r="R131" s="873"/>
      <c r="S131" s="873"/>
      <c r="U131" s="386"/>
    </row>
    <row r="132" spans="1:21" s="383" customFormat="1" ht="13.2">
      <c r="A132" s="875"/>
      <c r="B132" s="873"/>
      <c r="C132" s="873"/>
      <c r="D132" s="2195" t="s">
        <v>1439</v>
      </c>
      <c r="E132" s="2195"/>
      <c r="F132" s="2195"/>
      <c r="G132" s="2195"/>
      <c r="H132" s="2195"/>
      <c r="I132" s="873"/>
      <c r="J132" s="2195" t="s">
        <v>1440</v>
      </c>
      <c r="K132" s="2195"/>
      <c r="L132" s="2195"/>
      <c r="M132" s="2195"/>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6"/>
      <c r="B138" s="2197"/>
      <c r="C138" s="2197"/>
      <c r="D138" s="565"/>
      <c r="E138" s="2192"/>
      <c r="F138" s="2192"/>
      <c r="G138" s="873"/>
      <c r="H138" s="873"/>
      <c r="I138" s="873"/>
      <c r="J138" s="873"/>
      <c r="K138" s="873"/>
      <c r="L138" s="873"/>
      <c r="M138" s="873"/>
      <c r="N138" s="873"/>
      <c r="O138" s="873"/>
      <c r="P138" s="873"/>
      <c r="Q138" s="873"/>
      <c r="R138" s="873"/>
      <c r="S138" s="873"/>
    </row>
    <row r="139" spans="1:21" ht="12" customHeight="1">
      <c r="A139" s="2190" t="s">
        <v>1443</v>
      </c>
      <c r="B139" s="2191"/>
      <c r="C139" s="2191"/>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33" stopIfTrue="1">
      <formula>T9&gt;C9</formula>
    </cfRule>
  </conditionalFormatting>
  <conditionalFormatting sqref="T10">
    <cfRule type="expression" dxfId="135" priority="232" stopIfTrue="1">
      <formula>(T10+S10)&gt;C10</formula>
    </cfRule>
  </conditionalFormatting>
  <conditionalFormatting sqref="R8">
    <cfRule type="cellIs" dxfId="134" priority="212" stopIfTrue="1" operator="notEqual">
      <formula>$B8</formula>
    </cfRule>
    <cfRule type="cellIs" priority="215" stopIfTrue="1" operator="notEqual">
      <formula>$B8</formula>
    </cfRule>
  </conditionalFormatting>
  <conditionalFormatting sqref="R4:R7 R45:R52 R56:R60 R82:R94 R98:R102">
    <cfRule type="cellIs" dxfId="133" priority="214" stopIfTrue="1" operator="notEqual">
      <formula>$B4</formula>
    </cfRule>
  </conditionalFormatting>
  <conditionalFormatting sqref="R9:R10">
    <cfRule type="cellIs" dxfId="132" priority="213" stopIfTrue="1" operator="notEqual">
      <formula>$B9</formula>
    </cfRule>
  </conditionalFormatting>
  <conditionalFormatting sqref="R11:R12">
    <cfRule type="cellIs" dxfId="131" priority="210" stopIfTrue="1" operator="notEqual">
      <formula>$B11</formula>
    </cfRule>
    <cfRule type="cellIs" priority="211" stopIfTrue="1" operator="notEqual">
      <formula>$B11</formula>
    </cfRule>
  </conditionalFormatting>
  <conditionalFormatting sqref="R13:R15">
    <cfRule type="cellIs" dxfId="130" priority="209" stopIfTrue="1" operator="notEqual">
      <formula>$B13</formula>
    </cfRule>
  </conditionalFormatting>
  <conditionalFormatting sqref="R26">
    <cfRule type="cellIs" dxfId="129" priority="207" stopIfTrue="1" operator="notEqual">
      <formula>$B26</formula>
    </cfRule>
    <cfRule type="cellIs" priority="208" stopIfTrue="1" operator="notEqual">
      <formula>$B26</formula>
    </cfRule>
  </conditionalFormatting>
  <conditionalFormatting sqref="R17:R25">
    <cfRule type="cellIs" dxfId="128" priority="206" stopIfTrue="1" operator="notEqual">
      <formula>$B17</formula>
    </cfRule>
  </conditionalFormatting>
  <conditionalFormatting sqref="R27">
    <cfRule type="cellIs" dxfId="127" priority="205" stopIfTrue="1" operator="notEqual">
      <formula>$B27</formula>
    </cfRule>
  </conditionalFormatting>
  <conditionalFormatting sqref="R38">
    <cfRule type="cellIs" dxfId="126" priority="203" stopIfTrue="1" operator="notEqual">
      <formula>$B38</formula>
    </cfRule>
    <cfRule type="cellIs" priority="204" stopIfTrue="1" operator="notEqual">
      <formula>$B38</formula>
    </cfRule>
  </conditionalFormatting>
  <conditionalFormatting sqref="R29:R37">
    <cfRule type="cellIs" dxfId="125" priority="202" stopIfTrue="1" operator="notEqual">
      <formula>$B29</formula>
    </cfRule>
  </conditionalFormatting>
  <conditionalFormatting sqref="R42">
    <cfRule type="cellIs" dxfId="124" priority="200" stopIfTrue="1" operator="notEqual">
      <formula>$B42</formula>
    </cfRule>
    <cfRule type="cellIs" priority="201" stopIfTrue="1" operator="notEqual">
      <formula>$B42</formula>
    </cfRule>
  </conditionalFormatting>
  <conditionalFormatting sqref="R40:R41">
    <cfRule type="cellIs" dxfId="123" priority="199" stopIfTrue="1" operator="notEqual">
      <formula>$B40</formula>
    </cfRule>
  </conditionalFormatting>
  <conditionalFormatting sqref="R43">
    <cfRule type="cellIs" dxfId="122" priority="198" stopIfTrue="1" operator="notEqual">
      <formula>$B43</formula>
    </cfRule>
  </conditionalFormatting>
  <conditionalFormatting sqref="R53">
    <cfRule type="cellIs" dxfId="121" priority="195" stopIfTrue="1" operator="notEqual">
      <formula>$B53</formula>
    </cfRule>
    <cfRule type="cellIs" priority="196" stopIfTrue="1" operator="notEqual">
      <formula>$B53</formula>
    </cfRule>
  </conditionalFormatting>
  <conditionalFormatting sqref="R55">
    <cfRule type="cellIs" dxfId="120" priority="193" stopIfTrue="1" operator="notEqual">
      <formula>$B55</formula>
    </cfRule>
  </conditionalFormatting>
  <conditionalFormatting sqref="R61:R62">
    <cfRule type="cellIs" dxfId="119" priority="191" stopIfTrue="1" operator="notEqual">
      <formula>$B61</formula>
    </cfRule>
    <cfRule type="cellIs" priority="192" stopIfTrue="1" operator="notEqual">
      <formula>$B61</formula>
    </cfRule>
  </conditionalFormatting>
  <conditionalFormatting sqref="R64:R68">
    <cfRule type="cellIs" dxfId="118" priority="190" stopIfTrue="1" operator="notEqual">
      <formula>$B64</formula>
    </cfRule>
  </conditionalFormatting>
  <conditionalFormatting sqref="R69">
    <cfRule type="cellIs" dxfId="117" priority="188" stopIfTrue="1" operator="notEqual">
      <formula>$B69</formula>
    </cfRule>
    <cfRule type="cellIs" priority="189" stopIfTrue="1" operator="notEqual">
      <formula>$B69</formula>
    </cfRule>
  </conditionalFormatting>
  <conditionalFormatting sqref="R71:R75">
    <cfRule type="cellIs" dxfId="116" priority="187" stopIfTrue="1" operator="notEqual">
      <formula>$B71</formula>
    </cfRule>
  </conditionalFormatting>
  <conditionalFormatting sqref="R76">
    <cfRule type="cellIs" dxfId="115" priority="185" stopIfTrue="1" operator="notEqual">
      <formula>$B76</formula>
    </cfRule>
    <cfRule type="cellIs" priority="186" stopIfTrue="1" operator="notEqual">
      <formula>$B76</formula>
    </cfRule>
  </conditionalFormatting>
  <conditionalFormatting sqref="R78:R79">
    <cfRule type="cellIs" dxfId="114" priority="184" stopIfTrue="1" operator="notEqual">
      <formula>$B78</formula>
    </cfRule>
  </conditionalFormatting>
  <conditionalFormatting sqref="R95:R96">
    <cfRule type="cellIs" dxfId="113" priority="181" stopIfTrue="1" operator="notEqual">
      <formula>$B95</formula>
    </cfRule>
    <cfRule type="cellIs" priority="182" stopIfTrue="1" operator="notEqual">
      <formula>$B95</formula>
    </cfRule>
  </conditionalFormatting>
  <conditionalFormatting sqref="R103:R104">
    <cfRule type="cellIs" dxfId="112" priority="178" stopIfTrue="1" operator="notEqual">
      <formula>$B103</formula>
    </cfRule>
    <cfRule type="cellIs" priority="179" stopIfTrue="1" operator="notEqual">
      <formula>$B103</formula>
    </cfRule>
  </conditionalFormatting>
  <conditionalFormatting sqref="E104:Q104">
    <cfRule type="cellIs" dxfId="111" priority="177" stopIfTrue="1" operator="notEqual">
      <formula>E$107</formula>
    </cfRule>
  </conditionalFormatting>
  <conditionalFormatting sqref="S43">
    <cfRule type="expression" dxfId="110" priority="70" stopIfTrue="1">
      <formula>(S43+T43)&gt;C43</formula>
    </cfRule>
  </conditionalFormatting>
  <conditionalFormatting sqref="S10">
    <cfRule type="expression" dxfId="109" priority="113" stopIfTrue="1">
      <formula>(S10+T10)&gt;C10</formula>
    </cfRule>
  </conditionalFormatting>
  <conditionalFormatting sqref="S30">
    <cfRule type="expression" dxfId="108" priority="89" stopIfTrue="1">
      <formula>(S30+T30)&gt;C30</formula>
    </cfRule>
  </conditionalFormatting>
  <conditionalFormatting sqref="S32:S33">
    <cfRule type="expression" dxfId="107" priority="86" stopIfTrue="1">
      <formula>(S32+T32)&gt;C32</formula>
    </cfRule>
  </conditionalFormatting>
  <conditionalFormatting sqref="S31">
    <cfRule type="expression" dxfId="106" priority="88" stopIfTrue="1">
      <formula>(S31+T31)&gt;C31</formula>
    </cfRule>
  </conditionalFormatting>
  <conditionalFormatting sqref="S29">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B4" sqref="B4"/>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04" t="s">
        <v>2064</v>
      </c>
      <c r="B1" s="2205"/>
      <c r="C1" s="2205"/>
      <c r="D1" s="2205"/>
      <c r="E1" s="2205"/>
      <c r="F1" s="2205"/>
      <c r="G1" s="2205"/>
      <c r="H1" s="2205"/>
      <c r="I1" s="2205"/>
      <c r="J1" s="2206"/>
      <c r="K1" s="913"/>
    </row>
    <row r="2" spans="1:11" s="932" customFormat="1" ht="72">
      <c r="A2" s="930"/>
      <c r="B2" s="362" t="s">
        <v>1509</v>
      </c>
      <c r="C2" s="362" t="s">
        <v>2065</v>
      </c>
      <c r="D2" s="432" t="s">
        <v>2066</v>
      </c>
      <c r="E2" s="362" t="s">
        <v>1513</v>
      </c>
      <c r="F2" s="362" t="s">
        <v>2067</v>
      </c>
      <c r="G2" s="362" t="s">
        <v>2068</v>
      </c>
      <c r="H2" s="362" t="s">
        <v>1512</v>
      </c>
      <c r="I2" s="362" t="s">
        <v>2069</v>
      </c>
      <c r="J2" s="1085" t="s">
        <v>2070</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3965000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3965000</v>
      </c>
      <c r="C8" s="919">
        <f>SUM(C4:C7)</f>
        <v>0</v>
      </c>
      <c r="D8" s="919">
        <f>SUM(D4:D7)</f>
        <v>0</v>
      </c>
      <c r="E8" s="921"/>
      <c r="F8" s="921"/>
      <c r="G8" s="921"/>
      <c r="H8" s="921"/>
      <c r="I8" s="921"/>
      <c r="J8" s="921"/>
      <c r="K8" s="914"/>
    </row>
    <row r="9" spans="1:11" s="383" customFormat="1" ht="11.4">
      <c r="A9" s="369" t="s">
        <v>1942</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55000</v>
      </c>
      <c r="C10" s="920"/>
      <c r="D10" s="920"/>
      <c r="E10" s="919">
        <f>'Sources and Uses Budget'!S10</f>
        <v>55000</v>
      </c>
      <c r="F10" s="920"/>
      <c r="G10" s="920"/>
      <c r="H10" s="919">
        <f>'Sources and Uses Budget'!T10</f>
        <v>0</v>
      </c>
      <c r="I10" s="920"/>
      <c r="J10" s="920"/>
      <c r="K10" s="914"/>
    </row>
    <row r="11" spans="1:11" s="383" customFormat="1">
      <c r="A11" s="373" t="s">
        <v>646</v>
      </c>
      <c r="B11" s="919">
        <f>'Sources and Uses Budget'!C11</f>
        <v>55000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4020000</v>
      </c>
      <c r="C12" s="919">
        <f>SUM(C8+C11)</f>
        <v>0</v>
      </c>
      <c r="D12" s="919">
        <f>SUM(D8+D11)</f>
        <v>0</v>
      </c>
      <c r="E12" s="921"/>
      <c r="F12" s="921"/>
      <c r="G12" s="921"/>
      <c r="H12" s="921"/>
      <c r="I12" s="921"/>
      <c r="J12" s="921"/>
      <c r="K12" s="914"/>
    </row>
    <row r="13" spans="1:11" s="383" customFormat="1" ht="11.4">
      <c r="A13" s="721" t="s">
        <v>1229</v>
      </c>
      <c r="B13" s="919">
        <f>'Sources and Uses Budget'!C13</f>
        <v>99782</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893100</v>
      </c>
      <c r="C28" s="920"/>
      <c r="D28" s="920"/>
      <c r="E28" s="919">
        <f>'Sources and Uses Budget'!S29</f>
        <v>893100</v>
      </c>
      <c r="F28" s="920"/>
      <c r="G28" s="920"/>
      <c r="H28" s="919">
        <f>'Sources and Uses Budget'!T29</f>
        <v>0</v>
      </c>
      <c r="I28" s="920"/>
      <c r="J28" s="920"/>
      <c r="K28" s="914"/>
    </row>
    <row r="29" spans="1:11" s="383" customFormat="1" ht="11.4">
      <c r="A29" s="369" t="s">
        <v>1015</v>
      </c>
      <c r="B29" s="919">
        <f>'Sources and Uses Budget'!C30</f>
        <v>21133700</v>
      </c>
      <c r="C29" s="920"/>
      <c r="D29" s="920"/>
      <c r="E29" s="919">
        <f>'Sources and Uses Budget'!S30</f>
        <v>21133700</v>
      </c>
      <c r="F29" s="920"/>
      <c r="G29" s="920"/>
      <c r="H29" s="919">
        <f>'Sources and Uses Budget'!T30</f>
        <v>0</v>
      </c>
      <c r="I29" s="920"/>
      <c r="J29" s="920"/>
      <c r="K29" s="914"/>
    </row>
    <row r="30" spans="1:11" s="383" customFormat="1" ht="11.4">
      <c r="A30" s="369" t="s">
        <v>1016</v>
      </c>
      <c r="B30" s="919">
        <f>'Sources and Uses Budget'!C31</f>
        <v>1325508</v>
      </c>
      <c r="C30" s="920"/>
      <c r="D30" s="920"/>
      <c r="E30" s="919">
        <f>'Sources and Uses Budget'!S31</f>
        <v>1325508</v>
      </c>
      <c r="F30" s="920"/>
      <c r="G30" s="920"/>
      <c r="H30" s="919">
        <f>'Sources and Uses Budget'!T31</f>
        <v>0</v>
      </c>
      <c r="I30" s="920"/>
      <c r="J30" s="920"/>
      <c r="K30" s="914"/>
    </row>
    <row r="31" spans="1:11" s="383" customFormat="1" ht="11.4">
      <c r="A31" s="369" t="s">
        <v>1017</v>
      </c>
      <c r="B31" s="919">
        <f>'Sources and Uses Budget'!C32</f>
        <v>883672</v>
      </c>
      <c r="C31" s="920"/>
      <c r="D31" s="920"/>
      <c r="E31" s="919">
        <f>'Sources and Uses Budget'!S32</f>
        <v>883672</v>
      </c>
      <c r="F31" s="920"/>
      <c r="G31" s="920"/>
      <c r="H31" s="919">
        <f>'Sources and Uses Budget'!T32</f>
        <v>0</v>
      </c>
      <c r="I31" s="920"/>
      <c r="J31" s="920"/>
      <c r="K31" s="914"/>
    </row>
    <row r="32" spans="1:11" s="383" customFormat="1" ht="11.4">
      <c r="A32" s="369" t="s">
        <v>1018</v>
      </c>
      <c r="B32" s="919">
        <f>'Sources and Uses Budget'!C33</f>
        <v>883672</v>
      </c>
      <c r="C32" s="920"/>
      <c r="D32" s="920"/>
      <c r="E32" s="919">
        <f>'Sources and Uses Budget'!S33</f>
        <v>883672</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ht="11.4">
      <c r="A35" s="722" t="str">
        <f>'Sources and Uses Budget'!$A37</f>
        <v>Toxic Abatement</v>
      </c>
      <c r="B35" s="919">
        <f>'Sources and Uses Budget'!C37</f>
        <v>10000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25238652</v>
      </c>
      <c r="C36" s="919">
        <f>SUM(C28:C35)</f>
        <v>0</v>
      </c>
      <c r="D36" s="919">
        <f>SUM(D28:D35)</f>
        <v>0</v>
      </c>
      <c r="E36" s="919">
        <f>'Sources and Uses Budget'!S38</f>
        <v>25228652</v>
      </c>
      <c r="F36" s="922">
        <f>SUM(F28:F35)</f>
        <v>0</v>
      </c>
      <c r="G36" s="922">
        <f>SUM(G28:G35)</f>
        <v>0</v>
      </c>
      <c r="H36" s="919">
        <f>'Sources and Uses Budget'!T38</f>
        <v>0</v>
      </c>
      <c r="I36" s="922">
        <f>SUM(I28:I35)</f>
        <v>0</v>
      </c>
      <c r="J36" s="922">
        <f>SUM(J28:J35)</f>
        <v>0</v>
      </c>
      <c r="K36" s="914"/>
    </row>
    <row r="37" spans="1:11" s="383" customFormat="1" ht="11.4">
      <c r="A37" s="365" t="s">
        <v>1024</v>
      </c>
      <c r="B37" s="918"/>
      <c r="C37" s="918"/>
      <c r="D37" s="918"/>
      <c r="E37" s="918"/>
      <c r="F37" s="918"/>
      <c r="G37" s="918"/>
      <c r="H37" s="918"/>
      <c r="I37" s="918"/>
      <c r="J37" s="918"/>
      <c r="K37" s="914"/>
    </row>
    <row r="38" spans="1:11" s="383" customFormat="1" ht="11.4">
      <c r="A38" s="369" t="s">
        <v>1025</v>
      </c>
      <c r="B38" s="919">
        <f>'Sources and Uses Budget'!C40</f>
        <v>917654</v>
      </c>
      <c r="C38" s="920"/>
      <c r="D38" s="920"/>
      <c r="E38" s="919">
        <f>'Sources and Uses Budget'!S40</f>
        <v>917654</v>
      </c>
      <c r="F38" s="920"/>
      <c r="G38" s="920"/>
      <c r="H38" s="919">
        <f>'Sources and Uses Budget'!T40</f>
        <v>0</v>
      </c>
      <c r="I38" s="920"/>
      <c r="J38" s="920"/>
      <c r="K38" s="914"/>
    </row>
    <row r="39" spans="1:11" s="383" customFormat="1" ht="11.4">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917654</v>
      </c>
      <c r="C40" s="919">
        <f>SUM(C37:C39)</f>
        <v>0</v>
      </c>
      <c r="D40" s="919">
        <f>SUM(D37:D39)</f>
        <v>0</v>
      </c>
      <c r="E40" s="919">
        <f>'Sources and Uses Budget'!S42</f>
        <v>917654</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0</v>
      </c>
      <c r="C41" s="920"/>
      <c r="D41" s="920"/>
      <c r="E41" s="919">
        <f>'Sources and Uses Budget'!S43</f>
        <v>0</v>
      </c>
      <c r="F41" s="920"/>
      <c r="G41" s="920"/>
      <c r="H41" s="919">
        <f>'Sources and Uses Budget'!T43</f>
        <v>0</v>
      </c>
      <c r="I41" s="920"/>
      <c r="J41" s="920"/>
      <c r="K41" s="914"/>
    </row>
    <row r="42" spans="1:11" s="383" customFormat="1" ht="11.4">
      <c r="A42" s="365" t="s">
        <v>1029</v>
      </c>
      <c r="B42" s="918"/>
      <c r="C42" s="918"/>
      <c r="D42" s="918"/>
      <c r="E42" s="918"/>
      <c r="F42" s="918"/>
      <c r="G42" s="918"/>
      <c r="H42" s="918"/>
      <c r="I42" s="918"/>
      <c r="J42" s="918"/>
      <c r="K42" s="914"/>
    </row>
    <row r="43" spans="1:11" s="383" customFormat="1" ht="11.4">
      <c r="A43" s="369" t="s">
        <v>1030</v>
      </c>
      <c r="B43" s="919">
        <f>'Sources and Uses Budget'!C45</f>
        <v>1256417</v>
      </c>
      <c r="C43" s="920"/>
      <c r="D43" s="920"/>
      <c r="E43" s="919">
        <f>'Sources and Uses Budget'!S45</f>
        <v>865543</v>
      </c>
      <c r="F43" s="920"/>
      <c r="G43" s="920"/>
      <c r="H43" s="919">
        <f>'Sources and Uses Budget'!T45</f>
        <v>0</v>
      </c>
      <c r="I43" s="920"/>
      <c r="J43" s="920"/>
      <c r="K43" s="914"/>
    </row>
    <row r="44" spans="1:11" s="383" customFormat="1" ht="11.4">
      <c r="A44" s="369" t="s">
        <v>1031</v>
      </c>
      <c r="B44" s="919">
        <f>'Sources and Uses Budget'!C46</f>
        <v>284371</v>
      </c>
      <c r="C44" s="920"/>
      <c r="D44" s="920"/>
      <c r="E44" s="919">
        <f>'Sources and Uses Budget'!S46</f>
        <v>195903</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ht="11.4">
      <c r="A46" s="369" t="s">
        <v>1033</v>
      </c>
      <c r="B46" s="919">
        <f>'Sources and Uses Budget'!C48</f>
        <v>251847</v>
      </c>
      <c r="C46" s="920"/>
      <c r="D46" s="920"/>
      <c r="E46" s="919">
        <f>'Sources and Uses Budget'!S48</f>
        <v>251847</v>
      </c>
      <c r="F46" s="920"/>
      <c r="G46" s="920"/>
      <c r="H46" s="919">
        <f>'Sources and Uses Budget'!T48</f>
        <v>0</v>
      </c>
      <c r="I46" s="920"/>
      <c r="J46" s="920"/>
      <c r="K46" s="914"/>
    </row>
    <row r="47" spans="1:11" s="383" customFormat="1" ht="11.4">
      <c r="A47" s="369" t="s">
        <v>1036</v>
      </c>
      <c r="B47" s="919">
        <f>'Sources and Uses Budget'!C49</f>
        <v>40000</v>
      </c>
      <c r="C47" s="920"/>
      <c r="D47" s="920"/>
      <c r="E47" s="919">
        <f>'Sources and Uses Budget'!S49</f>
        <v>25000</v>
      </c>
      <c r="F47" s="920"/>
      <c r="G47" s="920"/>
      <c r="H47" s="919">
        <f>'Sources and Uses Budget'!T49</f>
        <v>0</v>
      </c>
      <c r="I47" s="920"/>
      <c r="J47" s="920"/>
      <c r="K47" s="914"/>
    </row>
    <row r="48" spans="1:11" s="383" customFormat="1" ht="11.4">
      <c r="A48" s="369" t="s">
        <v>1034</v>
      </c>
      <c r="B48" s="919">
        <f>'Sources and Uses Budget'!C50</f>
        <v>0</v>
      </c>
      <c r="C48" s="920"/>
      <c r="D48" s="920"/>
      <c r="E48" s="919">
        <f>'Sources and Uses Budget'!S50</f>
        <v>0</v>
      </c>
      <c r="F48" s="920"/>
      <c r="G48" s="920"/>
      <c r="H48" s="919">
        <f>'Sources and Uses Budget'!T50</f>
        <v>0</v>
      </c>
      <c r="I48" s="920"/>
      <c r="J48" s="920"/>
      <c r="K48" s="914"/>
    </row>
    <row r="49" spans="1:11" s="383" customFormat="1" ht="11.4">
      <c r="A49" s="369" t="s">
        <v>1035</v>
      </c>
      <c r="B49" s="919">
        <f>'Sources and Uses Budget'!C51</f>
        <v>440731</v>
      </c>
      <c r="C49" s="920"/>
      <c r="D49" s="920"/>
      <c r="E49" s="919">
        <f>'Sources and Uses Budget'!S51</f>
        <v>440731</v>
      </c>
      <c r="F49" s="920"/>
      <c r="G49" s="920"/>
      <c r="H49" s="919">
        <f>'Sources and Uses Budget'!T51</f>
        <v>0</v>
      </c>
      <c r="I49" s="920"/>
      <c r="J49" s="920"/>
      <c r="K49" s="914"/>
    </row>
    <row r="50" spans="1:11" s="383" customFormat="1" ht="11.4">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1037</v>
      </c>
      <c r="B51" s="919">
        <f>'Sources and Uses Budget'!C53</f>
        <v>2273366</v>
      </c>
      <c r="C51" s="922">
        <f>SUM(C43:C50)</f>
        <v>0</v>
      </c>
      <c r="D51" s="922">
        <f>SUM(D43:D50)</f>
        <v>0</v>
      </c>
      <c r="E51" s="919">
        <f>'Sources and Uses Budget'!S53</f>
        <v>1779024</v>
      </c>
      <c r="F51" s="922">
        <f>SUM(F43:F50)</f>
        <v>0</v>
      </c>
      <c r="G51" s="922">
        <f>SUM(G43:G50)</f>
        <v>0</v>
      </c>
      <c r="H51" s="919">
        <f>'Sources and Uses Budget'!T53</f>
        <v>0</v>
      </c>
      <c r="I51" s="922">
        <f>SUM(I43:I50)</f>
        <v>0</v>
      </c>
      <c r="J51" s="922">
        <f>SUM(J43:J50)</f>
        <v>0</v>
      </c>
      <c r="K51" s="915"/>
    </row>
    <row r="52" spans="1:11" s="383" customFormat="1" ht="11.4">
      <c r="A52" s="365" t="s">
        <v>749</v>
      </c>
      <c r="B52" s="918"/>
      <c r="C52" s="918"/>
      <c r="D52" s="918"/>
      <c r="E52" s="918"/>
      <c r="F52" s="918"/>
      <c r="G52" s="918"/>
      <c r="H52" s="918"/>
      <c r="I52" s="918"/>
      <c r="J52" s="918"/>
      <c r="K52" s="914"/>
    </row>
    <row r="53" spans="1:11" s="383" customFormat="1" ht="11.4">
      <c r="A53" s="369" t="s">
        <v>1038</v>
      </c>
      <c r="B53" s="919">
        <f>'Sources and Uses Budget'!C55</f>
        <v>84074</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ht="11.4">
      <c r="A55" s="369" t="s">
        <v>1036</v>
      </c>
      <c r="B55" s="919">
        <f>'Sources and Uses Budget'!C57</f>
        <v>20000</v>
      </c>
      <c r="C55" s="920"/>
      <c r="D55" s="920"/>
      <c r="E55" s="921"/>
      <c r="F55" s="921"/>
      <c r="G55" s="921"/>
      <c r="H55" s="921"/>
      <c r="I55" s="921"/>
      <c r="J55" s="921"/>
      <c r="K55" s="914"/>
    </row>
    <row r="56" spans="1:11" s="383" customFormat="1" ht="11.4">
      <c r="A56" s="369" t="s">
        <v>1034</v>
      </c>
      <c r="B56" s="919">
        <f>'Sources and Uses Budget'!C58</f>
        <v>0</v>
      </c>
      <c r="C56" s="920"/>
      <c r="D56" s="920"/>
      <c r="E56" s="921"/>
      <c r="F56" s="921"/>
      <c r="G56" s="921"/>
      <c r="H56" s="921"/>
      <c r="I56" s="921"/>
      <c r="J56" s="921"/>
      <c r="K56" s="914"/>
    </row>
    <row r="57" spans="1:11" s="383" customFormat="1" ht="11.4">
      <c r="A57" s="369" t="s">
        <v>1035</v>
      </c>
      <c r="B57" s="919">
        <f>'Sources and Uses Budget'!C59</f>
        <v>0</v>
      </c>
      <c r="C57" s="920"/>
      <c r="D57" s="920"/>
      <c r="E57" s="921"/>
      <c r="F57" s="921"/>
      <c r="G57" s="921"/>
      <c r="H57" s="921"/>
      <c r="I57" s="921"/>
      <c r="J57" s="921"/>
      <c r="K57" s="914"/>
    </row>
    <row r="58" spans="1:11" s="383" customFormat="1" ht="11.4">
      <c r="A58" s="722" t="str">
        <f>'Sources and Uses Budget'!$A60</f>
        <v>Other: (Specify)</v>
      </c>
      <c r="B58" s="919">
        <f>'Sources and Uses Budget'!C60</f>
        <v>0</v>
      </c>
      <c r="C58" s="920"/>
      <c r="D58" s="920"/>
      <c r="E58" s="921"/>
      <c r="F58" s="921"/>
      <c r="G58" s="921"/>
      <c r="H58" s="921"/>
      <c r="I58" s="921"/>
      <c r="J58" s="921"/>
      <c r="K58" s="914"/>
    </row>
    <row r="59" spans="1:11" s="383" customFormat="1" ht="13.95" customHeight="1">
      <c r="A59" s="373" t="s">
        <v>549</v>
      </c>
      <c r="B59" s="919">
        <f>'Sources and Uses Budget'!C61</f>
        <v>104074</v>
      </c>
      <c r="C59" s="919">
        <f>SUM(C53:C58)</f>
        <v>0</v>
      </c>
      <c r="D59" s="919">
        <f>SUM(D53:D58)</f>
        <v>0</v>
      </c>
      <c r="E59" s="921"/>
      <c r="F59" s="921"/>
      <c r="G59" s="921"/>
      <c r="H59" s="921"/>
      <c r="I59" s="921"/>
      <c r="J59" s="921"/>
      <c r="K59" s="914"/>
    </row>
    <row r="60" spans="1:11" s="383" customFormat="1" ht="11.4">
      <c r="A60" s="379" t="s">
        <v>550</v>
      </c>
      <c r="B60" s="919">
        <f>'Sources and Uses Budget'!C62</f>
        <v>32653528</v>
      </c>
      <c r="C60" s="919">
        <f>SUM(C8+C11+C13+C14+C15+C25+C26+C36+C40+C41+C51+C59)</f>
        <v>0</v>
      </c>
      <c r="D60" s="919">
        <f>SUM(D8+D11+D13+D14+D15+D25+D26+D36+D40+D41+D51+D59)</f>
        <v>0</v>
      </c>
      <c r="E60" s="919">
        <f>'Sources and Uses Budget'!S62</f>
        <v>27980330</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2.8">
      <c r="A61" s="365" t="s">
        <v>2249</v>
      </c>
      <c r="B61" s="918"/>
      <c r="C61" s="918"/>
      <c r="D61" s="918"/>
      <c r="E61" s="918"/>
      <c r="F61" s="918"/>
      <c r="G61" s="918"/>
      <c r="H61" s="918"/>
      <c r="I61" s="918"/>
      <c r="J61" s="918"/>
      <c r="K61" s="914"/>
    </row>
    <row r="62" spans="1:11" s="383" customFormat="1" ht="11.4">
      <c r="A62" s="369" t="s">
        <v>312</v>
      </c>
      <c r="B62" s="919">
        <f>'Sources and Uses Budget'!C64</f>
        <v>0</v>
      </c>
      <c r="C62" s="920"/>
      <c r="D62" s="920"/>
      <c r="E62" s="919">
        <f>'Sources and Uses Budget'!S64</f>
        <v>0</v>
      </c>
      <c r="F62" s="920"/>
      <c r="G62" s="920"/>
      <c r="H62" s="919">
        <f>'Sources and Uses Budget'!T64</f>
        <v>0</v>
      </c>
      <c r="I62" s="920"/>
      <c r="J62" s="920"/>
      <c r="K62" s="914"/>
    </row>
    <row r="63" spans="1:11" s="1380" customFormat="1" ht="22.8">
      <c r="A63" s="369" t="s">
        <v>2250</v>
      </c>
      <c r="B63" s="919">
        <f>'Sources and Uses Budget'!C65</f>
        <v>100000</v>
      </c>
      <c r="C63" s="920"/>
      <c r="D63" s="920"/>
      <c r="E63" s="919">
        <f>'Sources and Uses Budget'!S65</f>
        <v>100000</v>
      </c>
      <c r="F63" s="920"/>
      <c r="G63" s="920"/>
      <c r="H63" s="919">
        <f>'Sources and Uses Budget'!T65</f>
        <v>0</v>
      </c>
      <c r="I63" s="920"/>
      <c r="J63" s="920"/>
      <c r="K63" s="914"/>
    </row>
    <row r="64" spans="1:11" s="1380" customFormat="1" ht="22.8">
      <c r="A64" s="369" t="s">
        <v>2251</v>
      </c>
      <c r="B64" s="919">
        <f>'Sources and Uses Budget'!C66</f>
        <v>0</v>
      </c>
      <c r="C64" s="920"/>
      <c r="D64" s="920"/>
      <c r="E64" s="919">
        <f>'Sources and Uses Budget'!S66</f>
        <v>0</v>
      </c>
      <c r="F64" s="920"/>
      <c r="G64" s="920"/>
      <c r="H64" s="919">
        <f>'Sources and Uses Budget'!T66</f>
        <v>0</v>
      </c>
      <c r="I64" s="920"/>
      <c r="J64" s="920"/>
      <c r="K64" s="914"/>
    </row>
    <row r="65" spans="1:11" s="1380" customFormat="1" ht="11.4">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ht="11.4">
      <c r="A66" s="722" t="str">
        <f>'Sources and Uses Budget'!$A68</f>
        <v>Legal</v>
      </c>
      <c r="B66" s="919">
        <f>'Sources and Uses Budget'!C68</f>
        <v>192805</v>
      </c>
      <c r="C66" s="920"/>
      <c r="D66" s="920"/>
      <c r="E66" s="919">
        <f>'Sources and Uses Budget'!S68</f>
        <v>97346</v>
      </c>
      <c r="F66" s="920"/>
      <c r="G66" s="920"/>
      <c r="H66" s="919">
        <f>'Sources and Uses Budget'!T68</f>
        <v>0</v>
      </c>
      <c r="I66" s="920"/>
      <c r="J66" s="920"/>
      <c r="K66" s="914"/>
    </row>
    <row r="67" spans="1:11" s="383" customFormat="1">
      <c r="A67" s="373" t="s">
        <v>2253</v>
      </c>
      <c r="B67" s="919">
        <f>'Sources and Uses Budget'!C69</f>
        <v>292805</v>
      </c>
      <c r="C67" s="919">
        <f>SUM(C61:C66)</f>
        <v>0</v>
      </c>
      <c r="D67" s="919">
        <f>SUM(D61:D66)</f>
        <v>0</v>
      </c>
      <c r="E67" s="919">
        <f>'Sources and Uses Budget'!S69</f>
        <v>197346</v>
      </c>
      <c r="F67" s="922">
        <f>SUM(F62:F66)</f>
        <v>0</v>
      </c>
      <c r="G67" s="922">
        <f>SUM(G62:G66)</f>
        <v>0</v>
      </c>
      <c r="H67" s="919">
        <f>'Sources and Uses Budget'!T69</f>
        <v>0</v>
      </c>
      <c r="I67" s="922">
        <f>SUM(I62:I66)</f>
        <v>0</v>
      </c>
      <c r="J67" s="922">
        <f>SUM(J62:J66)</f>
        <v>0</v>
      </c>
      <c r="K67" s="914"/>
    </row>
    <row r="68" spans="1:11" s="383" customFormat="1" ht="11.4">
      <c r="A68" s="365" t="s">
        <v>313</v>
      </c>
      <c r="B68" s="918"/>
      <c r="C68" s="918"/>
      <c r="D68" s="918"/>
      <c r="E68" s="918"/>
      <c r="F68" s="918"/>
      <c r="G68" s="918"/>
      <c r="H68" s="918"/>
      <c r="I68" s="918"/>
      <c r="J68" s="918"/>
      <c r="K68" s="914"/>
    </row>
    <row r="69" spans="1:11" s="383" customFormat="1" ht="11.4">
      <c r="A69" s="369" t="s">
        <v>314</v>
      </c>
      <c r="B69" s="919">
        <f>'Sources and Uses Budget'!C71</f>
        <v>0</v>
      </c>
      <c r="C69" s="920"/>
      <c r="D69" s="920"/>
      <c r="E69" s="921"/>
      <c r="F69" s="921"/>
      <c r="G69" s="921"/>
      <c r="H69" s="921"/>
      <c r="I69" s="921"/>
      <c r="J69" s="921"/>
      <c r="K69" s="914"/>
    </row>
    <row r="70" spans="1:11" s="383" customFormat="1" ht="11.4">
      <c r="A70" s="369" t="s">
        <v>315</v>
      </c>
      <c r="B70" s="919">
        <f>'Sources and Uses Budget'!C72</f>
        <v>0</v>
      </c>
      <c r="C70" s="920"/>
      <c r="D70" s="920"/>
      <c r="E70" s="921"/>
      <c r="F70" s="921"/>
      <c r="G70" s="921"/>
      <c r="H70" s="921"/>
      <c r="I70" s="921"/>
      <c r="J70" s="921"/>
      <c r="K70" s="914"/>
    </row>
    <row r="71" spans="1:11" s="383" customFormat="1" ht="11.4">
      <c r="A71" s="998" t="s">
        <v>1374</v>
      </c>
      <c r="B71" s="919">
        <f>'Sources and Uses Budget'!C73</f>
        <v>0</v>
      </c>
      <c r="C71" s="920"/>
      <c r="D71" s="920"/>
      <c r="E71" s="921"/>
      <c r="F71" s="921"/>
      <c r="G71" s="921"/>
      <c r="H71" s="921"/>
      <c r="I71" s="921"/>
      <c r="J71" s="921"/>
      <c r="K71" s="914"/>
    </row>
    <row r="72" spans="1:11" s="383" customFormat="1" ht="11.4">
      <c r="A72" s="369" t="s">
        <v>316</v>
      </c>
      <c r="B72" s="919">
        <f>'Sources and Uses Budget'!C74</f>
        <v>285409</v>
      </c>
      <c r="C72" s="920"/>
      <c r="D72" s="920"/>
      <c r="E72" s="921"/>
      <c r="F72" s="921"/>
      <c r="G72" s="921"/>
      <c r="H72" s="921"/>
      <c r="I72" s="921"/>
      <c r="J72" s="921"/>
      <c r="K72" s="914"/>
    </row>
    <row r="73" spans="1:11" s="383" customFormat="1" ht="11.4">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285409</v>
      </c>
      <c r="C74" s="919">
        <f>SUM(C69:C73)</f>
        <v>0</v>
      </c>
      <c r="D74" s="919">
        <f>SUM(D69:D73)</f>
        <v>0</v>
      </c>
      <c r="E74" s="921"/>
      <c r="F74" s="921"/>
      <c r="G74" s="921"/>
      <c r="H74" s="921"/>
      <c r="I74" s="921"/>
      <c r="J74" s="921"/>
      <c r="K74" s="914"/>
    </row>
    <row r="75" spans="1:11" s="383" customFormat="1" ht="11.4">
      <c r="A75" s="365" t="s">
        <v>1973</v>
      </c>
      <c r="B75" s="918"/>
      <c r="C75" s="918"/>
      <c r="D75" s="918"/>
      <c r="E75" s="918"/>
      <c r="F75" s="918"/>
      <c r="G75" s="918"/>
      <c r="H75" s="918"/>
      <c r="I75" s="918"/>
      <c r="J75" s="918"/>
      <c r="K75" s="914"/>
    </row>
    <row r="76" spans="1:11" s="383" customFormat="1" ht="11.4">
      <c r="A76" s="369" t="s">
        <v>1974</v>
      </c>
      <c r="B76" s="919">
        <f>'Sources and Uses Budget'!C78</f>
        <v>1271825</v>
      </c>
      <c r="C76" s="920"/>
      <c r="D76" s="920"/>
      <c r="E76" s="919">
        <f>'Sources and Uses Budget'!S78</f>
        <v>1271825</v>
      </c>
      <c r="F76" s="920"/>
      <c r="G76" s="920"/>
      <c r="H76" s="919">
        <f>'Sources and Uses Budget'!T78</f>
        <v>0</v>
      </c>
      <c r="I76" s="920"/>
      <c r="J76" s="920"/>
      <c r="K76" s="914"/>
    </row>
    <row r="77" spans="1:11" s="1091" customFormat="1" ht="11.4">
      <c r="A77" s="369" t="s">
        <v>597</v>
      </c>
      <c r="B77" s="919">
        <f>'Sources and Uses Budget'!C79</f>
        <v>250000</v>
      </c>
      <c r="C77" s="920"/>
      <c r="D77" s="920"/>
      <c r="E77" s="919">
        <f>'Sources and Uses Budget'!S79</f>
        <v>125000</v>
      </c>
      <c r="F77" s="920"/>
      <c r="G77" s="920"/>
      <c r="H77" s="919">
        <f>'Sources and Uses Budget'!T79</f>
        <v>0</v>
      </c>
      <c r="I77" s="920"/>
      <c r="J77" s="920"/>
      <c r="K77" s="914"/>
    </row>
    <row r="78" spans="1:11" s="383" customFormat="1">
      <c r="A78" s="373" t="s">
        <v>1972</v>
      </c>
      <c r="B78" s="919">
        <f>'Sources and Uses Budget'!C80</f>
        <v>1521825</v>
      </c>
      <c r="C78" s="1123">
        <f>SUM(C76:C77)</f>
        <v>0</v>
      </c>
      <c r="D78" s="1123">
        <f>SUM(D76:D77)</f>
        <v>0</v>
      </c>
      <c r="E78" s="919">
        <f>'Sources and Uses Budget'!S80</f>
        <v>1396825</v>
      </c>
      <c r="F78" s="1123">
        <f>SUM(F76:F77)</f>
        <v>0</v>
      </c>
      <c r="G78" s="1123">
        <f>SUM(G76:G77)</f>
        <v>0</v>
      </c>
      <c r="H78" s="919">
        <f>'Sources and Uses Budget'!T80</f>
        <v>0</v>
      </c>
      <c r="I78" s="1123">
        <f>SUM(I76:I77)</f>
        <v>0</v>
      </c>
      <c r="J78" s="1123">
        <f>SUM(J76:J77)</f>
        <v>0</v>
      </c>
      <c r="K78" s="914"/>
    </row>
    <row r="79" spans="1:11" s="383" customFormat="1" ht="11.4">
      <c r="A79" s="365" t="s">
        <v>573</v>
      </c>
      <c r="B79" s="918"/>
      <c r="C79" s="918"/>
      <c r="D79" s="918"/>
      <c r="E79" s="918"/>
      <c r="F79" s="918"/>
      <c r="G79" s="918"/>
      <c r="H79" s="918"/>
      <c r="I79" s="918"/>
      <c r="J79" s="918"/>
      <c r="K79" s="914"/>
    </row>
    <row r="80" spans="1:11" s="383" customFormat="1" ht="13.95" customHeight="1">
      <c r="A80" s="369" t="s">
        <v>574</v>
      </c>
      <c r="B80" s="919">
        <f>'Sources and Uses Budget'!C82</f>
        <v>113053</v>
      </c>
      <c r="C80" s="920"/>
      <c r="D80" s="920"/>
      <c r="E80" s="921"/>
      <c r="F80" s="921"/>
      <c r="G80" s="921"/>
      <c r="H80" s="921"/>
      <c r="I80" s="921"/>
      <c r="J80" s="921"/>
      <c r="K80" s="914"/>
    </row>
    <row r="81" spans="1:11" s="383" customFormat="1" ht="11.4">
      <c r="A81" s="369" t="s">
        <v>575</v>
      </c>
      <c r="B81" s="919">
        <f>'Sources and Uses Budget'!C83</f>
        <v>0</v>
      </c>
      <c r="C81" s="920"/>
      <c r="D81" s="920"/>
      <c r="E81" s="919">
        <f>'Sources and Uses Budget'!S83</f>
        <v>0</v>
      </c>
      <c r="F81" s="920"/>
      <c r="G81" s="920"/>
      <c r="H81" s="919">
        <f>'Sources and Uses Budget'!T83</f>
        <v>0</v>
      </c>
      <c r="I81" s="920"/>
      <c r="J81" s="920"/>
      <c r="K81" s="914"/>
    </row>
    <row r="82" spans="1:11" s="383" customFormat="1" ht="11.4">
      <c r="A82" s="369" t="s">
        <v>576</v>
      </c>
      <c r="B82" s="919">
        <f>'Sources and Uses Budget'!C84</f>
        <v>1225051</v>
      </c>
      <c r="C82" s="920"/>
      <c r="D82" s="920"/>
      <c r="E82" s="919">
        <f>'Sources and Uses Budget'!S84</f>
        <v>1225051</v>
      </c>
      <c r="F82" s="920"/>
      <c r="G82" s="920"/>
      <c r="H82" s="919">
        <f>'Sources and Uses Budget'!T84</f>
        <v>0</v>
      </c>
      <c r="I82" s="920"/>
      <c r="J82" s="920"/>
      <c r="K82" s="914"/>
    </row>
    <row r="83" spans="1:11" s="383" customFormat="1" ht="11.4">
      <c r="A83" s="369" t="s">
        <v>577</v>
      </c>
      <c r="B83" s="919">
        <f>'Sources and Uses Budget'!C85</f>
        <v>390128</v>
      </c>
      <c r="C83" s="920"/>
      <c r="D83" s="920"/>
      <c r="E83" s="919">
        <f>'Sources and Uses Budget'!S85</f>
        <v>390128</v>
      </c>
      <c r="F83" s="920"/>
      <c r="G83" s="920"/>
      <c r="H83" s="919">
        <f>'Sources and Uses Budget'!T85</f>
        <v>0</v>
      </c>
      <c r="I83" s="920"/>
      <c r="J83" s="920"/>
      <c r="K83" s="914"/>
    </row>
    <row r="84" spans="1:11" s="383" customFormat="1" ht="11.4">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ht="11.4">
      <c r="A85" s="369" t="s">
        <v>579</v>
      </c>
      <c r="B85" s="919">
        <f>'Sources and Uses Budget'!C87</f>
        <v>20000</v>
      </c>
      <c r="C85" s="920"/>
      <c r="D85" s="920"/>
      <c r="E85" s="921"/>
      <c r="F85" s="921"/>
      <c r="G85" s="921"/>
      <c r="H85" s="921"/>
      <c r="I85" s="921"/>
      <c r="J85" s="921"/>
      <c r="K85" s="914"/>
    </row>
    <row r="86" spans="1:11" s="383" customFormat="1" ht="11.4">
      <c r="A86" s="369" t="s">
        <v>580</v>
      </c>
      <c r="B86" s="919">
        <f>'Sources and Uses Budget'!C88</f>
        <v>141000</v>
      </c>
      <c r="C86" s="920"/>
      <c r="D86" s="920"/>
      <c r="E86" s="919">
        <f>'Sources and Uses Budget'!S88</f>
        <v>141000</v>
      </c>
      <c r="F86" s="920"/>
      <c r="G86" s="920"/>
      <c r="H86" s="919">
        <f>'Sources and Uses Budget'!T88</f>
        <v>0</v>
      </c>
      <c r="I86" s="920"/>
      <c r="J86" s="920"/>
      <c r="K86" s="914"/>
    </row>
    <row r="87" spans="1:11" s="383" customFormat="1" ht="11.4">
      <c r="A87" s="369" t="s">
        <v>581</v>
      </c>
      <c r="B87" s="919">
        <f>'Sources and Uses Budget'!C89</f>
        <v>30000</v>
      </c>
      <c r="C87" s="920"/>
      <c r="D87" s="920"/>
      <c r="E87" s="919">
        <f>'Sources and Uses Budget'!S89</f>
        <v>30000</v>
      </c>
      <c r="F87" s="920"/>
      <c r="G87" s="920"/>
      <c r="H87" s="919">
        <f>'Sources and Uses Budget'!T89</f>
        <v>0</v>
      </c>
      <c r="I87" s="920"/>
      <c r="J87" s="920"/>
      <c r="K87" s="914"/>
    </row>
    <row r="88" spans="1:11" s="383" customFormat="1" ht="11.4">
      <c r="A88" s="722" t="s">
        <v>1456</v>
      </c>
      <c r="B88" s="919">
        <f>'Sources and Uses Budget'!C90</f>
        <v>25000</v>
      </c>
      <c r="C88" s="920"/>
      <c r="D88" s="920"/>
      <c r="E88" s="919">
        <f>'Sources and Uses Budget'!S90</f>
        <v>25000</v>
      </c>
      <c r="F88" s="920"/>
      <c r="G88" s="920"/>
      <c r="H88" s="919">
        <f>'Sources and Uses Budget'!T90</f>
        <v>0</v>
      </c>
      <c r="I88" s="920"/>
      <c r="J88" s="920"/>
      <c r="K88" s="914"/>
    </row>
    <row r="89" spans="1:11" s="383" customFormat="1" ht="11.4">
      <c r="A89" s="722" t="s">
        <v>1970</v>
      </c>
      <c r="B89" s="919">
        <f>'Sources and Uses Budget'!C91</f>
        <v>15000</v>
      </c>
      <c r="C89" s="920"/>
      <c r="D89" s="920"/>
      <c r="E89" s="919">
        <f>'Sources and Uses Budget'!S91</f>
        <v>0</v>
      </c>
      <c r="F89" s="920"/>
      <c r="G89" s="920"/>
      <c r="H89" s="919">
        <f>'Sources and Uses Budget'!T91</f>
        <v>0</v>
      </c>
      <c r="I89" s="920"/>
      <c r="J89" s="920"/>
      <c r="K89" s="914"/>
    </row>
    <row r="90" spans="1:11" s="383" customFormat="1" ht="11.4">
      <c r="A90" s="722" t="str">
        <f>'Sources and Uses Budget'!$A92</f>
        <v>LACDA Fees</v>
      </c>
      <c r="B90" s="919">
        <f>'Sources and Uses Budget'!C92</f>
        <v>12150</v>
      </c>
      <c r="C90" s="920"/>
      <c r="D90" s="920"/>
      <c r="E90" s="919">
        <f>'Sources and Uses Budget'!S92</f>
        <v>12150</v>
      </c>
      <c r="F90" s="920"/>
      <c r="G90" s="920"/>
      <c r="H90" s="919">
        <f>'Sources and Uses Budget'!T92</f>
        <v>0</v>
      </c>
      <c r="I90" s="920"/>
      <c r="J90" s="920"/>
      <c r="K90" s="914"/>
    </row>
    <row r="91" spans="1:11" s="383" customFormat="1" ht="11.4">
      <c r="A91" s="722" t="str">
        <f>'Sources and Uses Budget'!$A93</f>
        <v>Relocation</v>
      </c>
      <c r="B91" s="919">
        <f>'Sources and Uses Budget'!C93</f>
        <v>110600</v>
      </c>
      <c r="C91" s="920"/>
      <c r="D91" s="920"/>
      <c r="E91" s="919">
        <f>'Sources and Uses Budget'!S93</f>
        <v>0</v>
      </c>
      <c r="F91" s="920"/>
      <c r="G91" s="920"/>
      <c r="H91" s="919">
        <f>'Sources and Uses Budget'!T93</f>
        <v>0</v>
      </c>
      <c r="I91" s="920"/>
      <c r="J91" s="920"/>
      <c r="K91" s="914"/>
    </row>
    <row r="92" spans="1:11" s="383" customFormat="1" ht="11.4">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2081982</v>
      </c>
      <c r="C93" s="919">
        <f>SUM(C80:C92)</f>
        <v>0</v>
      </c>
      <c r="D93" s="919">
        <f>SUM(D80:D92)</f>
        <v>0</v>
      </c>
      <c r="E93" s="919">
        <f>'Sources and Uses Budget'!S95</f>
        <v>1823329</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36835549</v>
      </c>
      <c r="C94" s="919">
        <f>SUM(C60+C67+C74+C78+C93)</f>
        <v>0</v>
      </c>
      <c r="D94" s="919">
        <f>SUM(D60+D67+D74+D78+D93)</f>
        <v>0</v>
      </c>
      <c r="E94" s="919">
        <f>'Sources and Uses Budget'!S96</f>
        <v>31397830</v>
      </c>
      <c r="F94" s="922">
        <f>SUM(+F60+F67+F78+F93)</f>
        <v>0</v>
      </c>
      <c r="G94" s="922">
        <f>SUM(+G60+G67+G78+G93)</f>
        <v>0</v>
      </c>
      <c r="H94" s="919">
        <f>'Sources and Uses Budget'!T96</f>
        <v>0</v>
      </c>
      <c r="I94" s="922">
        <f>SUM(I60+I67+I78+I93)</f>
        <v>0</v>
      </c>
      <c r="J94" s="922">
        <f>SUM(J60+J67+J78+J93)</f>
        <v>0</v>
      </c>
      <c r="K94" s="914"/>
    </row>
    <row r="95" spans="1:11" s="383" customFormat="1" ht="11.4">
      <c r="A95" s="365" t="s">
        <v>584</v>
      </c>
      <c r="B95" s="918"/>
      <c r="C95" s="918"/>
      <c r="D95" s="918"/>
      <c r="E95" s="918"/>
      <c r="F95" s="918"/>
      <c r="G95" s="918"/>
      <c r="H95" s="918"/>
      <c r="I95" s="918"/>
      <c r="J95" s="918"/>
      <c r="K95" s="914"/>
    </row>
    <row r="96" spans="1:11" s="383" customFormat="1" ht="11.4">
      <c r="A96" s="369" t="s">
        <v>585</v>
      </c>
      <c r="B96" s="919">
        <f>'Sources and Uses Budget'!C98</f>
        <v>2000000</v>
      </c>
      <c r="C96" s="920"/>
      <c r="D96" s="920"/>
      <c r="E96" s="919">
        <f>'Sources and Uses Budget'!S98</f>
        <v>2000000</v>
      </c>
      <c r="F96" s="920"/>
      <c r="G96" s="920"/>
      <c r="H96" s="919">
        <f>'Sources and Uses Budget'!T98</f>
        <v>0</v>
      </c>
      <c r="I96" s="920"/>
      <c r="J96" s="920"/>
      <c r="K96" s="914"/>
    </row>
    <row r="97" spans="1:11" s="383" customFormat="1" ht="11.4">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ht="11.4">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ht="11.4">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2000000</v>
      </c>
      <c r="C101" s="919">
        <f>SUM(C96:C100)</f>
        <v>0</v>
      </c>
      <c r="D101" s="919">
        <f>SUM(D96:D100)</f>
        <v>0</v>
      </c>
      <c r="E101" s="919">
        <f>'Sources and Uses Budget'!S103</f>
        <v>2000000</v>
      </c>
      <c r="F101" s="922">
        <f>SUM(F96:F100)</f>
        <v>0</v>
      </c>
      <c r="G101" s="922">
        <f>SUM(G96:G100)</f>
        <v>0</v>
      </c>
      <c r="H101" s="919">
        <f>'Sources and Uses Budget'!T103</f>
        <v>0</v>
      </c>
      <c r="I101" s="922">
        <f>SUM(I96:I100)</f>
        <v>0</v>
      </c>
      <c r="J101" s="922">
        <f>SUM(J96:J100)</f>
        <v>0</v>
      </c>
      <c r="K101" s="914"/>
    </row>
    <row r="102" spans="1:11" s="383" customFormat="1">
      <c r="A102" s="373" t="s">
        <v>1511</v>
      </c>
      <c r="B102" s="919">
        <f>'Sources and Uses Budget'!C104</f>
        <v>38835549</v>
      </c>
      <c r="C102" s="922">
        <f>SUM(C94+C101)</f>
        <v>0</v>
      </c>
      <c r="D102" s="922">
        <f>SUM(D94+D101)</f>
        <v>0</v>
      </c>
      <c r="E102" s="919">
        <f>'Sources and Uses Budget'!S104</f>
        <v>33397830</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33397830</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R17" sqref="AR17"/>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0" t="s">
        <v>1976</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4" t="s">
        <v>2075</v>
      </c>
      <c r="AA6" s="2"/>
    </row>
    <row r="7" spans="1:40" ht="13.65" customHeight="1">
      <c r="B7" s="9"/>
      <c r="C7" s="10"/>
      <c r="D7" s="10"/>
      <c r="E7" s="10"/>
      <c r="F7" s="10"/>
      <c r="G7" s="10"/>
      <c r="H7" s="10"/>
      <c r="I7" s="10"/>
      <c r="J7" s="10"/>
      <c r="K7" s="10"/>
      <c r="L7" s="10"/>
      <c r="M7" s="10"/>
      <c r="N7" s="10"/>
      <c r="O7" s="10"/>
      <c r="P7" s="10"/>
      <c r="Q7" s="10"/>
      <c r="R7" s="10"/>
      <c r="S7" s="10"/>
      <c r="T7" s="2233" t="str">
        <f>IF(T25=100%,'Sources and Basis Breakdown'!G2,'Sources and Basis Breakdown'!F2)</f>
        <v>70% PVC for New Const/
Rehabilitation
NON-DDA/
NON-QCT Building(s)</v>
      </c>
      <c r="U7" s="2233"/>
      <c r="V7" s="2233"/>
      <c r="W7" s="2233"/>
      <c r="X7" s="2233"/>
      <c r="Y7" s="2233" t="str">
        <f>IF(T25=100%," ",'Sources and Basis Breakdown'!G2)</f>
        <v xml:space="preserve"> </v>
      </c>
      <c r="Z7" s="2233"/>
      <c r="AA7" s="2233"/>
      <c r="AB7" s="2233"/>
      <c r="AC7" s="2233"/>
      <c r="AD7" s="2233" t="str">
        <f>IF(T25=100%,'Sources and Basis Breakdown'!J2,'Sources and Basis Breakdown'!I2)</f>
        <v>30% PVC for Acquisition
NON-DDA/
NON-QCT Building(s)</v>
      </c>
      <c r="AE7" s="2233"/>
      <c r="AF7" s="2233"/>
      <c r="AG7" s="2233"/>
      <c r="AH7" s="2233"/>
      <c r="AI7" s="2233" t="str">
        <f>IF(T25=100%," ",'Sources and Basis Breakdown'!J2)</f>
        <v xml:space="preserve"> </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3.2">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2">
      <c r="B11" s="2207" t="s">
        <v>566</v>
      </c>
      <c r="C11" s="2208"/>
      <c r="D11" s="2208"/>
      <c r="E11" s="2208"/>
      <c r="F11" s="2208"/>
      <c r="G11" s="2208"/>
      <c r="H11" s="2208"/>
      <c r="I11" s="2208"/>
      <c r="J11" s="2208"/>
      <c r="K11" s="2208"/>
      <c r="L11" s="2208"/>
      <c r="M11" s="2208"/>
      <c r="N11" s="2208"/>
      <c r="O11" s="2208"/>
      <c r="P11" s="2208"/>
      <c r="Q11" s="2208"/>
      <c r="R11" s="2208"/>
      <c r="S11" s="2209"/>
      <c r="T11" s="2244">
        <f>IF('Sources and Basis Breakdown'!F104=0,'Sources and Basis Breakdown'!E104,'Sources and Basis Breakdown'!F104)</f>
        <v>33397830</v>
      </c>
      <c r="U11" s="2234"/>
      <c r="V11" s="2234"/>
      <c r="W11" s="2234"/>
      <c r="X11" s="2234"/>
      <c r="Y11" s="2253">
        <f>IF(Y7=" ",0,IF('Sources and Basis Breakdown'!G104+'Sources and Basis Breakdown'!F104='Sources and Basis Breakdown'!E104,'Sources and Basis Breakdown'!G104,0))</f>
        <v>0</v>
      </c>
      <c r="Z11" s="2234"/>
      <c r="AA11" s="2234"/>
      <c r="AB11" s="2234"/>
      <c r="AC11" s="2234"/>
      <c r="AD11" s="2234">
        <f>IF('Sources and Basis Breakdown'!I104=0,'Sources and Basis Breakdown'!H104,'Sources and Basis Breakdown'!I104)</f>
        <v>0</v>
      </c>
      <c r="AE11" s="2234"/>
      <c r="AF11" s="2234"/>
      <c r="AG11" s="2234"/>
      <c r="AH11" s="2234"/>
      <c r="AI11" s="2234">
        <f>IF(AI7=" ",0,IF('Sources and Basis Breakdown'!I104+'Sources and Basis Breakdown'!J104='Sources and Basis Breakdown'!H104,'Sources and Basis Breakdown'!J104,0))</f>
        <v>0</v>
      </c>
      <c r="AJ11" s="2234"/>
      <c r="AK11" s="2234"/>
      <c r="AL11" s="2234"/>
      <c r="AM11" s="2234"/>
    </row>
    <row r="12" spans="1:40" ht="13.2">
      <c r="B12" s="2237" t="s">
        <v>496</v>
      </c>
      <c r="C12" s="2238"/>
      <c r="D12" s="2238"/>
      <c r="E12" s="2238"/>
      <c r="F12" s="2238"/>
      <c r="G12" s="2238"/>
      <c r="H12" s="2238"/>
      <c r="I12" s="2238"/>
      <c r="J12" s="2238"/>
      <c r="K12" s="2238"/>
      <c r="L12" s="2238"/>
      <c r="M12" s="2238"/>
      <c r="N12" s="2238"/>
      <c r="O12" s="2238"/>
      <c r="P12" s="2238"/>
      <c r="Q12" s="2238"/>
      <c r="R12" s="2238"/>
      <c r="S12" s="2239"/>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3.2">
      <c r="B13" s="11"/>
      <c r="C13" s="2240" t="s">
        <v>1933</v>
      </c>
      <c r="D13" s="2241"/>
      <c r="E13" s="2241"/>
      <c r="F13" s="2241"/>
      <c r="G13" s="2241"/>
      <c r="H13" s="2241"/>
      <c r="I13" s="2241"/>
      <c r="J13" s="2241"/>
      <c r="K13" s="2241"/>
      <c r="L13" s="2241"/>
      <c r="M13" s="2241"/>
      <c r="N13" s="2241"/>
      <c r="O13" s="2241"/>
      <c r="P13" s="2241"/>
      <c r="Q13" s="2241"/>
      <c r="R13" s="2241"/>
      <c r="S13" s="2242"/>
      <c r="T13" s="2245"/>
      <c r="U13" s="2246"/>
      <c r="V13" s="2246"/>
      <c r="W13" s="2246"/>
      <c r="X13" s="2246"/>
      <c r="Y13" s="2245"/>
      <c r="Z13" s="2246"/>
      <c r="AA13" s="2246"/>
      <c r="AB13" s="2246"/>
      <c r="AC13" s="2246"/>
      <c r="AD13" s="2246"/>
      <c r="AE13" s="2246"/>
      <c r="AF13" s="2246"/>
      <c r="AG13" s="2246"/>
      <c r="AH13" s="2246"/>
      <c r="AI13" s="2246"/>
      <c r="AJ13" s="2246"/>
      <c r="AK13" s="2246"/>
      <c r="AL13" s="2246"/>
      <c r="AM13" s="2246"/>
    </row>
    <row r="14" spans="1:40" ht="13.2">
      <c r="B14" s="11"/>
      <c r="C14" s="2241" t="s">
        <v>841</v>
      </c>
      <c r="D14" s="2241"/>
      <c r="E14" s="2241"/>
      <c r="F14" s="2241"/>
      <c r="G14" s="2241"/>
      <c r="H14" s="2241"/>
      <c r="I14" s="2241"/>
      <c r="J14" s="2241"/>
      <c r="K14" s="2241"/>
      <c r="L14" s="2241"/>
      <c r="M14" s="2241"/>
      <c r="N14" s="2241"/>
      <c r="O14" s="2241"/>
      <c r="P14" s="2241"/>
      <c r="Q14" s="2241"/>
      <c r="R14" s="2241"/>
      <c r="S14" s="2242"/>
      <c r="T14" s="1656"/>
      <c r="U14" s="1650"/>
      <c r="V14" s="1650"/>
      <c r="W14" s="1650"/>
      <c r="X14" s="1650"/>
      <c r="Y14" s="1656"/>
      <c r="Z14" s="1650"/>
      <c r="AA14" s="1650"/>
      <c r="AB14" s="1650"/>
      <c r="AC14" s="1650"/>
      <c r="AD14" s="1650"/>
      <c r="AE14" s="1650"/>
      <c r="AF14" s="1650"/>
      <c r="AG14" s="1650"/>
      <c r="AH14" s="1650"/>
      <c r="AI14" s="1650"/>
      <c r="AJ14" s="1650"/>
      <c r="AK14" s="1650"/>
      <c r="AL14" s="1650"/>
      <c r="AM14" s="1650"/>
    </row>
    <row r="15" spans="1:40" ht="13.2">
      <c r="B15" s="11"/>
      <c r="C15" s="2241" t="s">
        <v>842</v>
      </c>
      <c r="D15" s="2241"/>
      <c r="E15" s="2241"/>
      <c r="F15" s="2241"/>
      <c r="G15" s="2241"/>
      <c r="H15" s="2241"/>
      <c r="I15" s="2241"/>
      <c r="J15" s="2241"/>
      <c r="K15" s="2241"/>
      <c r="L15" s="2241"/>
      <c r="M15" s="2241"/>
      <c r="N15" s="2241"/>
      <c r="O15" s="2241"/>
      <c r="P15" s="2241"/>
      <c r="Q15" s="2241"/>
      <c r="R15" s="2241"/>
      <c r="S15" s="2242"/>
      <c r="T15" s="1656"/>
      <c r="U15" s="1650"/>
      <c r="V15" s="1650"/>
      <c r="W15" s="1650"/>
      <c r="X15" s="1650"/>
      <c r="Y15" s="1656"/>
      <c r="Z15" s="1650"/>
      <c r="AA15" s="1650"/>
      <c r="AB15" s="1650"/>
      <c r="AC15" s="1650"/>
      <c r="AD15" s="1650"/>
      <c r="AE15" s="1650"/>
      <c r="AF15" s="1650"/>
      <c r="AG15" s="1650"/>
      <c r="AH15" s="1650"/>
      <c r="AI15" s="1650"/>
      <c r="AJ15" s="1650"/>
      <c r="AK15" s="1650"/>
      <c r="AL15" s="1650"/>
      <c r="AM15" s="1650"/>
    </row>
    <row r="16" spans="1:40" ht="13.2">
      <c r="B16" s="11"/>
      <c r="C16" s="2240" t="s">
        <v>1117</v>
      </c>
      <c r="D16" s="2240"/>
      <c r="E16" s="2240"/>
      <c r="F16" s="2240"/>
      <c r="G16" s="2240"/>
      <c r="H16" s="2240"/>
      <c r="I16" s="2240"/>
      <c r="J16" s="2240"/>
      <c r="K16" s="2240"/>
      <c r="L16" s="2240"/>
      <c r="M16" s="2240"/>
      <c r="N16" s="2240"/>
      <c r="O16" s="2240"/>
      <c r="P16" s="2240"/>
      <c r="Q16" s="2240"/>
      <c r="R16" s="2240"/>
      <c r="S16" s="2243"/>
      <c r="T16" s="1656"/>
      <c r="U16" s="1650"/>
      <c r="V16" s="1650"/>
      <c r="W16" s="1650"/>
      <c r="X16" s="1650"/>
      <c r="Y16" s="1656"/>
      <c r="Z16" s="1650"/>
      <c r="AA16" s="1650"/>
      <c r="AB16" s="1650"/>
      <c r="AC16" s="1650"/>
      <c r="AD16" s="1650"/>
      <c r="AE16" s="1650"/>
      <c r="AF16" s="1650"/>
      <c r="AG16" s="1650"/>
      <c r="AH16" s="1650"/>
      <c r="AI16" s="1650"/>
      <c r="AJ16" s="1650"/>
      <c r="AK16" s="1650"/>
      <c r="AL16" s="1650"/>
      <c r="AM16" s="1650"/>
    </row>
    <row r="17" spans="1:39" ht="13.2">
      <c r="B17" s="11"/>
      <c r="C17" s="2241" t="s">
        <v>843</v>
      </c>
      <c r="D17" s="2241"/>
      <c r="E17" s="2241"/>
      <c r="F17" s="2241"/>
      <c r="G17" s="2241"/>
      <c r="H17" s="2241"/>
      <c r="I17" s="2241"/>
      <c r="J17" s="2241"/>
      <c r="K17" s="2241"/>
      <c r="L17" s="2241"/>
      <c r="M17" s="2241"/>
      <c r="N17" s="2241"/>
      <c r="O17" s="2241"/>
      <c r="P17" s="2241"/>
      <c r="Q17" s="2241"/>
      <c r="R17" s="2241"/>
      <c r="S17" s="2242"/>
      <c r="T17" s="1656"/>
      <c r="U17" s="1650"/>
      <c r="V17" s="1650"/>
      <c r="W17" s="1650"/>
      <c r="X17" s="1650"/>
      <c r="Y17" s="1656"/>
      <c r="Z17" s="1650"/>
      <c r="AA17" s="1650"/>
      <c r="AB17" s="1650"/>
      <c r="AC17" s="1650"/>
      <c r="AD17" s="1650"/>
      <c r="AE17" s="1650"/>
      <c r="AF17" s="1650"/>
      <c r="AG17" s="1650"/>
      <c r="AH17" s="1650"/>
      <c r="AI17" s="1650"/>
      <c r="AJ17" s="1650"/>
      <c r="AK17" s="1650"/>
      <c r="AL17" s="1650"/>
      <c r="AM17" s="1650"/>
    </row>
    <row r="18" spans="1:39" ht="13.2">
      <c r="B18" s="929"/>
      <c r="C18" s="1718" t="s">
        <v>1349</v>
      </c>
      <c r="D18" s="1718"/>
      <c r="E18" s="1718"/>
      <c r="F18" s="1718"/>
      <c r="G18" s="1718"/>
      <c r="H18" s="1718"/>
      <c r="I18" s="1718"/>
      <c r="J18" s="1718"/>
      <c r="K18" s="1718"/>
      <c r="L18" s="1718"/>
      <c r="M18" s="1718"/>
      <c r="N18" s="1718"/>
      <c r="O18" s="1718"/>
      <c r="P18" s="1718"/>
      <c r="Q18" s="1718"/>
      <c r="R18" s="1718"/>
      <c r="S18" s="1719"/>
      <c r="T18" s="1654"/>
      <c r="U18" s="1655"/>
      <c r="V18" s="1655"/>
      <c r="W18" s="1655"/>
      <c r="X18" s="1656"/>
      <c r="Y18" s="1656"/>
      <c r="Z18" s="1650"/>
      <c r="AA18" s="1650"/>
      <c r="AB18" s="1650"/>
      <c r="AC18" s="1650"/>
      <c r="AD18" s="1650"/>
      <c r="AE18" s="1650"/>
      <c r="AF18" s="1650"/>
      <c r="AG18" s="1650"/>
      <c r="AH18" s="1650"/>
      <c r="AI18" s="1650"/>
      <c r="AJ18" s="1650"/>
      <c r="AK18" s="1650"/>
      <c r="AL18" s="1650"/>
      <c r="AM18" s="1650"/>
    </row>
    <row r="19" spans="1:39" ht="13.2">
      <c r="B19" s="768"/>
      <c r="C19" s="1718" t="s">
        <v>1349</v>
      </c>
      <c r="D19" s="1718"/>
      <c r="E19" s="1718"/>
      <c r="F19" s="1718"/>
      <c r="G19" s="1718"/>
      <c r="H19" s="1718"/>
      <c r="I19" s="1718"/>
      <c r="J19" s="1718"/>
      <c r="K19" s="1718"/>
      <c r="L19" s="1718"/>
      <c r="M19" s="1718"/>
      <c r="N19" s="1718"/>
      <c r="O19" s="1718"/>
      <c r="P19" s="1718"/>
      <c r="Q19" s="1718"/>
      <c r="R19" s="1718"/>
      <c r="S19" s="1719"/>
      <c r="T19" s="1656"/>
      <c r="U19" s="1650"/>
      <c r="V19" s="1650"/>
      <c r="W19" s="1650"/>
      <c r="X19" s="1650"/>
      <c r="Y19" s="1656"/>
      <c r="Z19" s="1650"/>
      <c r="AA19" s="1650"/>
      <c r="AB19" s="1650"/>
      <c r="AC19" s="1650"/>
      <c r="AD19" s="1650"/>
      <c r="AE19" s="1650"/>
      <c r="AF19" s="1650"/>
      <c r="AG19" s="1650"/>
      <c r="AH19" s="1650"/>
      <c r="AI19" s="1650"/>
      <c r="AJ19" s="1650"/>
      <c r="AK19" s="1650"/>
      <c r="AL19" s="1650"/>
      <c r="AM19" s="1650"/>
    </row>
    <row r="20" spans="1:39" ht="13.2">
      <c r="B20" s="2207" t="s">
        <v>844</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3.2">
      <c r="B21" s="2207" t="s">
        <v>1932</v>
      </c>
      <c r="C21" s="2208"/>
      <c r="D21" s="2208"/>
      <c r="E21" s="2208"/>
      <c r="F21" s="2208"/>
      <c r="G21" s="2208"/>
      <c r="H21" s="2208"/>
      <c r="I21" s="2208"/>
      <c r="J21" s="2208"/>
      <c r="K21" s="2208"/>
      <c r="L21" s="2208"/>
      <c r="M21" s="2208"/>
      <c r="N21" s="2208"/>
      <c r="O21" s="2208"/>
      <c r="P21" s="2208"/>
      <c r="Q21" s="2208"/>
      <c r="R21" s="2208"/>
      <c r="S21" s="2209"/>
      <c r="T21" s="1656">
        <v>9611000</v>
      </c>
      <c r="U21" s="1650"/>
      <c r="V21" s="1650"/>
      <c r="W21" s="1650"/>
      <c r="X21" s="1650"/>
      <c r="Y21" s="1656"/>
      <c r="Z21" s="1650"/>
      <c r="AA21" s="1650"/>
      <c r="AB21" s="1650"/>
      <c r="AC21" s="1650"/>
      <c r="AD21" s="1650"/>
      <c r="AE21" s="1650"/>
      <c r="AF21" s="1650"/>
      <c r="AG21" s="1650"/>
      <c r="AH21" s="1650"/>
      <c r="AI21" s="1654"/>
      <c r="AJ21" s="1655"/>
      <c r="AK21" s="1655"/>
      <c r="AL21" s="1655"/>
      <c r="AM21" s="1656"/>
    </row>
    <row r="22" spans="1:39" ht="13.2">
      <c r="B22" s="2207" t="s">
        <v>845</v>
      </c>
      <c r="C22" s="2208"/>
      <c r="D22" s="2208"/>
      <c r="E22" s="2208"/>
      <c r="F22" s="2208"/>
      <c r="G22" s="2208"/>
      <c r="H22" s="2208"/>
      <c r="I22" s="2208"/>
      <c r="J22" s="2208"/>
      <c r="K22" s="2208"/>
      <c r="L22" s="2208"/>
      <c r="M22" s="2208"/>
      <c r="N22" s="2208"/>
      <c r="O22" s="2208"/>
      <c r="P22" s="2208"/>
      <c r="Q22" s="2208"/>
      <c r="R22" s="2208"/>
      <c r="S22" s="2209"/>
      <c r="T22" s="2224">
        <f>(T20+T21)*-1</f>
        <v>-9611000</v>
      </c>
      <c r="U22" s="2225"/>
      <c r="V22" s="2225"/>
      <c r="W22" s="2225"/>
      <c r="X22" s="2225"/>
      <c r="Y22" s="2224">
        <f>(Y20+Y21)*-1</f>
        <v>0</v>
      </c>
      <c r="Z22" s="2225"/>
      <c r="AA22" s="2225"/>
      <c r="AB22" s="2225"/>
      <c r="AC22" s="2225"/>
      <c r="AD22" s="2224">
        <f>(AD20+AD21)*-1</f>
        <v>0</v>
      </c>
      <c r="AE22" s="2225"/>
      <c r="AF22" s="2225"/>
      <c r="AG22" s="2225"/>
      <c r="AH22" s="2225"/>
      <c r="AI22" s="2235">
        <f>(AI20+AI21)*-1</f>
        <v>0</v>
      </c>
      <c r="AJ22" s="2236"/>
      <c r="AK22" s="2236"/>
      <c r="AL22" s="2236"/>
      <c r="AM22" s="2224"/>
    </row>
    <row r="23" spans="1:39" ht="13.2">
      <c r="A23" s="2"/>
      <c r="B23" s="2218" t="s">
        <v>2179</v>
      </c>
      <c r="C23" s="2219"/>
      <c r="D23" s="2219"/>
      <c r="E23" s="2219"/>
      <c r="F23" s="2219"/>
      <c r="G23" s="2219"/>
      <c r="H23" s="2219"/>
      <c r="I23" s="2219"/>
      <c r="J23" s="2219"/>
      <c r="K23" s="2219"/>
      <c r="L23" s="2219"/>
      <c r="M23" s="2219"/>
      <c r="N23" s="2219"/>
      <c r="O23" s="2219"/>
      <c r="P23" s="2219"/>
      <c r="Q23" s="2219"/>
      <c r="R23" s="2219"/>
      <c r="S23" s="2220"/>
      <c r="T23" s="2223">
        <f>T11+T22</f>
        <v>23786830</v>
      </c>
      <c r="U23" s="2227"/>
      <c r="V23" s="2227"/>
      <c r="W23" s="2227"/>
      <c r="X23" s="2227"/>
      <c r="Y23" s="2223">
        <f>Y11+Y22</f>
        <v>0</v>
      </c>
      <c r="Z23" s="2227"/>
      <c r="AA23" s="2227"/>
      <c r="AB23" s="2227"/>
      <c r="AC23" s="2227"/>
      <c r="AD23" s="2223">
        <f>IF(AD11=AD21,0,AD11)</f>
        <v>0</v>
      </c>
      <c r="AE23" s="2227"/>
      <c r="AF23" s="2227"/>
      <c r="AG23" s="2227"/>
      <c r="AH23" s="2227"/>
      <c r="AI23" s="2223">
        <f>IF(AI11=AI21,0,AI11)</f>
        <v>0</v>
      </c>
      <c r="AJ23" s="2227"/>
      <c r="AK23" s="2227"/>
      <c r="AL23" s="2227"/>
      <c r="AM23" s="2227"/>
    </row>
    <row r="24" spans="1:39" ht="13.2">
      <c r="B24" s="2207" t="s">
        <v>1350</v>
      </c>
      <c r="C24" s="2208"/>
      <c r="D24" s="2208"/>
      <c r="E24" s="2208"/>
      <c r="F24" s="2208"/>
      <c r="G24" s="2208"/>
      <c r="H24" s="2208"/>
      <c r="I24" s="2208"/>
      <c r="J24" s="2208"/>
      <c r="K24" s="2208"/>
      <c r="L24" s="2208"/>
      <c r="M24" s="2208"/>
      <c r="N24" s="2208"/>
      <c r="O24" s="2208"/>
      <c r="P24" s="2208"/>
      <c r="Q24" s="2208"/>
      <c r="R24" s="2208"/>
      <c r="S24" s="2209"/>
      <c r="T24" s="2221">
        <f>Application!AJ1000</f>
        <v>40775094</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3.2">
      <c r="B25" s="2210" t="s">
        <v>2181</v>
      </c>
      <c r="C25" s="2211"/>
      <c r="D25" s="2211"/>
      <c r="E25" s="2211"/>
      <c r="F25" s="2211"/>
      <c r="G25" s="2211"/>
      <c r="H25" s="2211"/>
      <c r="I25" s="2211"/>
      <c r="J25" s="2211"/>
      <c r="K25" s="2211"/>
      <c r="L25" s="2211"/>
      <c r="M25" s="2211"/>
      <c r="N25" s="2211"/>
      <c r="O25" s="2211"/>
      <c r="P25" s="2211"/>
      <c r="Q25" s="2211"/>
      <c r="R25" s="2211"/>
      <c r="S25" s="2212"/>
      <c r="T25" s="2230">
        <f>IF(OR(AND(Application!T193="no",Application!T194="no",Application!T196="no"),Application!T195="yes"),1,1.3)</f>
        <v>1</v>
      </c>
      <c r="U25" s="2231"/>
      <c r="V25" s="2231"/>
      <c r="W25" s="2231"/>
      <c r="X25" s="2231"/>
      <c r="Y25" s="2230">
        <v>1</v>
      </c>
      <c r="Z25" s="2231"/>
      <c r="AA25" s="2231"/>
      <c r="AB25" s="2231"/>
      <c r="AC25" s="2232"/>
      <c r="AD25" s="2230">
        <v>1</v>
      </c>
      <c r="AE25" s="2231"/>
      <c r="AF25" s="2231"/>
      <c r="AG25" s="2231"/>
      <c r="AH25" s="2232"/>
      <c r="AI25" s="2230">
        <v>1</v>
      </c>
      <c r="AJ25" s="2231"/>
      <c r="AK25" s="2231"/>
      <c r="AL25" s="2231"/>
      <c r="AM25" s="2232"/>
    </row>
    <row r="26" spans="1:39" ht="13.2">
      <c r="B26" s="2207" t="s">
        <v>847</v>
      </c>
      <c r="C26" s="2208"/>
      <c r="D26" s="2208"/>
      <c r="E26" s="2208"/>
      <c r="F26" s="2208"/>
      <c r="G26" s="2208"/>
      <c r="H26" s="2208"/>
      <c r="I26" s="2208"/>
      <c r="J26" s="2208"/>
      <c r="K26" s="2208"/>
      <c r="L26" s="2208"/>
      <c r="M26" s="2208"/>
      <c r="N26" s="2208"/>
      <c r="O26" s="2208"/>
      <c r="P26" s="2208"/>
      <c r="Q26" s="2208"/>
      <c r="R26" s="2208"/>
      <c r="S26" s="2209"/>
      <c r="T26" s="2228">
        <f>T23*T25</f>
        <v>23786830</v>
      </c>
      <c r="U26" s="2229"/>
      <c r="V26" s="2229"/>
      <c r="W26" s="2229"/>
      <c r="X26" s="2229"/>
      <c r="Y26" s="2228">
        <f>Y23*Y25</f>
        <v>0</v>
      </c>
      <c r="Z26" s="2229"/>
      <c r="AA26" s="2229"/>
      <c r="AB26" s="2229"/>
      <c r="AC26" s="2229"/>
      <c r="AD26" s="2228">
        <f>AD23*AD25</f>
        <v>0</v>
      </c>
      <c r="AE26" s="2229"/>
      <c r="AF26" s="2229"/>
      <c r="AG26" s="2229"/>
      <c r="AH26" s="2229"/>
      <c r="AI26" s="2228">
        <f>AI23*AI25</f>
        <v>0</v>
      </c>
      <c r="AJ26" s="2229"/>
      <c r="AK26" s="2229"/>
      <c r="AL26" s="2229"/>
      <c r="AM26" s="2229"/>
    </row>
    <row r="27" spans="1:39" ht="13.2">
      <c r="A27" s="7"/>
      <c r="B27" s="2213" t="s">
        <v>978</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925</v>
      </c>
      <c r="C28" s="2208"/>
      <c r="D28" s="2208"/>
      <c r="E28" s="2208"/>
      <c r="F28" s="2208"/>
      <c r="G28" s="2208"/>
      <c r="H28" s="2208"/>
      <c r="I28" s="2208"/>
      <c r="J28" s="2208"/>
      <c r="K28" s="2208"/>
      <c r="L28" s="2208"/>
      <c r="M28" s="2208"/>
      <c r="N28" s="2208"/>
      <c r="O28" s="2208"/>
      <c r="P28" s="2208"/>
      <c r="Q28" s="2208"/>
      <c r="R28" s="2208"/>
      <c r="S28" s="2209"/>
      <c r="T28" s="1640">
        <f>IF(ISERROR((T26*T27)),0,(T26*T27))</f>
        <v>23786830</v>
      </c>
      <c r="U28" s="2226"/>
      <c r="V28" s="2226"/>
      <c r="W28" s="2226"/>
      <c r="X28" s="2226"/>
      <c r="Y28" s="1640">
        <f>IF(ISERROR((Y26*Y27)),0,(Y26*Y27))</f>
        <v>0</v>
      </c>
      <c r="Z28" s="2226"/>
      <c r="AA28" s="2226"/>
      <c r="AB28" s="2226"/>
      <c r="AC28" s="2226"/>
      <c r="AD28" s="1640">
        <f>IF(ISERROR((AD26*AD27)),0,(AD26*AD27))</f>
        <v>0</v>
      </c>
      <c r="AE28" s="2226"/>
      <c r="AF28" s="2226"/>
      <c r="AG28" s="2226"/>
      <c r="AH28" s="2226"/>
      <c r="AI28" s="1640">
        <f>IF(ISERROR((AI26*AI27)),0,(AI26*AI27))</f>
        <v>0</v>
      </c>
      <c r="AJ28" s="2226"/>
      <c r="AK28" s="2226"/>
      <c r="AL28" s="2226"/>
      <c r="AM28" s="2226"/>
    </row>
    <row r="29" spans="1:39" ht="13.2">
      <c r="B29" s="2207" t="s">
        <v>689</v>
      </c>
      <c r="C29" s="2208"/>
      <c r="D29" s="2208"/>
      <c r="E29" s="2208"/>
      <c r="F29" s="2208"/>
      <c r="G29" s="2208"/>
      <c r="H29" s="2208"/>
      <c r="I29" s="2208"/>
      <c r="J29" s="2208"/>
      <c r="K29" s="2208"/>
      <c r="L29" s="2208"/>
      <c r="M29" s="2208"/>
      <c r="N29" s="2208"/>
      <c r="O29" s="2208"/>
      <c r="P29" s="2208"/>
      <c r="Q29" s="2208"/>
      <c r="R29" s="2208"/>
      <c r="S29" s="2209"/>
      <c r="T29" s="2221">
        <f>T28+Y28+AD28+AI28</f>
        <v>23786830</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275" t="s">
        <v>2180</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39" ht="13.2">
      <c r="B31" s="2276" t="s">
        <v>2184</v>
      </c>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77" t="s">
        <v>46</v>
      </c>
      <c r="AE35" s="2277"/>
      <c r="AF35" s="2277"/>
      <c r="AG35" s="2277"/>
      <c r="AH35" s="227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77"/>
      <c r="AE36" s="2277"/>
      <c r="AF36" s="2277"/>
      <c r="AG36" s="2277"/>
      <c r="AH36" s="2277"/>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77"/>
      <c r="AE37" s="2277"/>
      <c r="AF37" s="2277"/>
      <c r="AG37" s="2277"/>
      <c r="AH37" s="2277"/>
    </row>
    <row r="38" spans="1:44" ht="12.75" customHeight="1">
      <c r="A38" s="6"/>
      <c r="B38" s="2207" t="s">
        <v>925</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23786830</v>
      </c>
      <c r="Z38" s="2227"/>
      <c r="AA38" s="2227"/>
      <c r="AB38" s="2227"/>
      <c r="AC38" s="2227"/>
      <c r="AD38" s="2227">
        <f>IF(T24&gt;=(T23+Y23+AD23+AI23),AD28+AI28,0)</f>
        <v>0</v>
      </c>
      <c r="AE38" s="2227"/>
      <c r="AF38" s="2227"/>
      <c r="AG38" s="2227"/>
      <c r="AH38" s="2227"/>
    </row>
    <row r="39" spans="1:44" ht="13.2">
      <c r="B39" s="2207" t="s">
        <v>2056</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2">
        <v>0.09</v>
      </c>
      <c r="Z39" s="2282"/>
      <c r="AA39" s="2282"/>
      <c r="AB39" s="2282"/>
      <c r="AC39" s="2282"/>
      <c r="AD39" s="2282">
        <v>0.04</v>
      </c>
      <c r="AE39" s="2282"/>
      <c r="AF39" s="2282"/>
      <c r="AG39" s="2282"/>
      <c r="AH39" s="2282"/>
    </row>
    <row r="40" spans="1:44"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2140815</v>
      </c>
      <c r="Z40" s="2227"/>
      <c r="AA40" s="2227"/>
      <c r="AB40" s="2227"/>
      <c r="AC40" s="2227"/>
      <c r="AD40" s="2223">
        <f>ROUND(AD38*AD39,0)</f>
        <v>0</v>
      </c>
      <c r="AE40" s="2227"/>
      <c r="AF40" s="2227"/>
      <c r="AG40" s="2227"/>
      <c r="AH40" s="2227"/>
    </row>
    <row r="41" spans="1:44" ht="13.2">
      <c r="B41" s="2207" t="s">
        <v>683</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3">
        <f>IF(Application!Y211="No",'Basis &amp; Credits'!AR42,AR43)</f>
        <v>2140815</v>
      </c>
      <c r="Z41" s="2284"/>
      <c r="AA41" s="2284"/>
      <c r="AB41" s="2284"/>
      <c r="AC41" s="2284"/>
      <c r="AD41" s="2284"/>
      <c r="AE41" s="2284"/>
      <c r="AF41" s="2284"/>
      <c r="AG41" s="2284"/>
      <c r="AH41" s="2285"/>
    </row>
    <row r="42" spans="1:44" ht="12.75" customHeight="1">
      <c r="A42" s="6"/>
      <c r="B42" s="2267" t="s">
        <v>2057</v>
      </c>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949"/>
      <c r="AJ42" s="949"/>
      <c r="AK42" s="949"/>
      <c r="AL42" s="949"/>
      <c r="AM42" s="949"/>
      <c r="AN42" s="949"/>
      <c r="AR42" s="2">
        <f>IF((Y40+AD40)&gt;2500000,2500000,Y40+AD40)</f>
        <v>2140815</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2140815</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71">
        <f>'Sources and Uses Budget'!B104-'Sources and Uses Budget'!$B$15</f>
        <v>38835549</v>
      </c>
      <c r="AC46" s="2272"/>
      <c r="AD46" s="2272"/>
      <c r="AE46" s="2272"/>
      <c r="AF46" s="2273"/>
    </row>
    <row r="47" spans="1:44" ht="12.75" customHeight="1">
      <c r="D47" s="6" t="s">
        <v>919</v>
      </c>
      <c r="AB47" s="2271">
        <f>Application!AO642-MIN('Sources and Uses Budget'!B15,Application!AG388)</f>
        <v>13968911</v>
      </c>
      <c r="AC47" s="2272"/>
      <c r="AD47" s="2272"/>
      <c r="AE47" s="2272"/>
      <c r="AF47" s="2273"/>
    </row>
    <row r="48" spans="1:44" ht="13.2">
      <c r="D48" s="6" t="s">
        <v>422</v>
      </c>
      <c r="AB48" s="2271">
        <f>AB46-AB47</f>
        <v>24866638</v>
      </c>
      <c r="AC48" s="2272"/>
      <c r="AD48" s="2272"/>
      <c r="AE48" s="2272"/>
      <c r="AF48" s="2273"/>
    </row>
    <row r="49" spans="1:40" ht="13.2">
      <c r="D49" s="6" t="s">
        <v>958</v>
      </c>
      <c r="X49" s="2"/>
      <c r="Y49" s="2"/>
      <c r="Z49" s="2"/>
      <c r="AA49" s="409"/>
      <c r="AB49" s="2261">
        <f>19158369/21408150</f>
        <v>0.89491006929603911</v>
      </c>
      <c r="AC49" s="2262"/>
      <c r="AD49" s="2262"/>
      <c r="AE49" s="2262"/>
      <c r="AF49" s="2263"/>
    </row>
    <row r="50" spans="1:40" s="515" customFormat="1" ht="15" customHeight="1">
      <c r="A50" s="2"/>
      <c r="B50" s="2"/>
      <c r="C50" s="2"/>
      <c r="D50" s="272"/>
      <c r="E50" s="2274" t="s">
        <v>2247</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78"/>
      <c r="AB50" s="778"/>
      <c r="AC50" s="778"/>
      <c r="AD50" s="778"/>
      <c r="AE50" s="778"/>
      <c r="AF50" s="778"/>
      <c r="AG50" s="2"/>
      <c r="AH50" s="2"/>
      <c r="AI50" s="2"/>
      <c r="AJ50" s="2"/>
      <c r="AK50" s="2"/>
      <c r="AL50" s="2"/>
      <c r="AM50" s="2"/>
      <c r="AN50" s="2"/>
    </row>
    <row r="51" spans="1:40" s="515"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1">
        <f>ROUND(IF(ISERROR((AB48/AB49)),0,(AB48/AB49)),0)</f>
        <v>27786745</v>
      </c>
      <c r="AC53" s="2272"/>
      <c r="AD53" s="2272"/>
      <c r="AE53" s="2272"/>
      <c r="AF53" s="2273"/>
    </row>
    <row r="54" spans="1:40" ht="12.75" customHeight="1">
      <c r="D54" s="6" t="s">
        <v>621</v>
      </c>
      <c r="AB54" s="2271">
        <f>(AB53/10)</f>
        <v>2778674.5</v>
      </c>
      <c r="AC54" s="2272"/>
      <c r="AD54" s="2272"/>
      <c r="AE54" s="2272"/>
      <c r="AF54" s="2273"/>
    </row>
    <row r="55" spans="1:40" ht="13.2">
      <c r="D55" s="6" t="s">
        <v>379</v>
      </c>
      <c r="AB55" s="2268">
        <f>(IF((Y41&lt;AB54),Y41,AB54))</f>
        <v>2140815</v>
      </c>
      <c r="AC55" s="2269"/>
      <c r="AD55" s="2269"/>
      <c r="AE55" s="2269"/>
      <c r="AF55" s="2270"/>
    </row>
    <row r="56" spans="1:40" ht="13.2">
      <c r="D56" s="6" t="s">
        <v>118</v>
      </c>
      <c r="AB56" s="2271">
        <f>ROUND((10*AB55*AB49),0)</f>
        <v>19158369</v>
      </c>
      <c r="AC56" s="2272"/>
      <c r="AD56" s="2272"/>
      <c r="AE56" s="2272"/>
      <c r="AF56" s="22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5708269</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I59" s="1104"/>
      <c r="N59" s="23"/>
      <c r="AB59" s="425"/>
      <c r="AC59" s="425"/>
      <c r="AD59" s="425"/>
      <c r="AE59" s="425"/>
      <c r="AF59" s="425"/>
    </row>
    <row r="60" spans="1:40" ht="12.75" customHeight="1" thickBot="1">
      <c r="A60" s="2278" t="s">
        <v>1980</v>
      </c>
      <c r="B60" s="2278"/>
      <c r="C60" s="2278"/>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row>
    <row r="61" spans="1:40" ht="13.65" customHeight="1" thickTop="1">
      <c r="A61" s="2280"/>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1" t="s">
        <v>331</v>
      </c>
      <c r="Z62" s="2281"/>
      <c r="AA62" s="2281"/>
      <c r="AB62" s="2281"/>
      <c r="AC62" s="2281"/>
      <c r="AD62" s="2281" t="s">
        <v>46</v>
      </c>
      <c r="AE62" s="2281"/>
      <c r="AF62" s="2281"/>
      <c r="AG62" s="2281"/>
      <c r="AH62" s="2281"/>
      <c r="AI62" s="1"/>
      <c r="AJ62" s="1"/>
      <c r="AK62" s="1"/>
      <c r="AL62" s="1"/>
      <c r="AM62" s="1"/>
      <c r="AN62" s="1"/>
    </row>
    <row r="63" spans="1:40" ht="13.2">
      <c r="C63" s="330"/>
      <c r="D63" s="801" t="s">
        <v>1376</v>
      </c>
      <c r="E63" s="802"/>
      <c r="F63" s="802"/>
      <c r="G63" s="802"/>
      <c r="H63" s="802"/>
      <c r="I63" s="802"/>
      <c r="J63" s="802"/>
      <c r="K63" s="802"/>
      <c r="L63" s="22"/>
      <c r="M63" s="22"/>
      <c r="N63" s="22"/>
      <c r="O63" s="22"/>
      <c r="P63" s="22"/>
      <c r="Q63" s="22"/>
      <c r="R63" s="22"/>
      <c r="S63" s="22"/>
      <c r="T63" s="22"/>
      <c r="U63" s="22"/>
      <c r="V63" s="22"/>
      <c r="W63" s="22"/>
      <c r="X63" s="22"/>
      <c r="Y63" s="2226">
        <f>IF(AND(Application!T193="No",Application!T194="No"),T28,IF(OR(AND(T25=1.3,Application!T196="Yes",Application!D214="Special Needs"),T25=1),(T23*T27)+Y28,Y28))</f>
        <v>23786830</v>
      </c>
      <c r="Z63" s="2264"/>
      <c r="AA63" s="2264"/>
      <c r="AB63" s="2264"/>
      <c r="AC63" s="2264"/>
      <c r="AD63" s="1884">
        <f>IF(AND(T25=1.3,Application!D214="At-Risk"),AI28,IF(Application!D214&lt;&gt;"At-Risk",0,AD28))</f>
        <v>0</v>
      </c>
      <c r="AE63" s="2264"/>
      <c r="AF63" s="2264"/>
      <c r="AG63" s="2264"/>
      <c r="AH63" s="2264"/>
    </row>
    <row r="64" spans="1:40" ht="15" customHeight="1">
      <c r="C64" s="6"/>
      <c r="E64" s="2279" t="s">
        <v>1427</v>
      </c>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row>
    <row r="65" spans="1:40" ht="24.45" customHeight="1">
      <c r="C65" s="6"/>
      <c r="E65" s="2279"/>
      <c r="F65" s="2279"/>
      <c r="G65" s="2279"/>
      <c r="H65" s="2279"/>
      <c r="I65" s="2279"/>
      <c r="J65" s="2279"/>
      <c r="K65" s="2279"/>
      <c r="L65" s="2279"/>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0">
        <f>IF(Application!W198="Yes",95%, 30%)</f>
        <v>0.3</v>
      </c>
      <c r="Z66" s="2260"/>
      <c r="AA66" s="2260"/>
      <c r="AB66" s="2260"/>
      <c r="AC66" s="2260"/>
      <c r="AD66" s="2260">
        <f>IF(Application!W198="Yes",95%, 13%)</f>
        <v>0.13</v>
      </c>
      <c r="AE66" s="2260"/>
      <c r="AF66" s="2260"/>
      <c r="AG66" s="2260"/>
      <c r="AH66" s="2260"/>
    </row>
    <row r="67" spans="1:40" ht="13.2">
      <c r="C67" s="6"/>
      <c r="D67" s="6" t="s">
        <v>1045</v>
      </c>
      <c r="Y67" s="1884">
        <f>ROUND(Y63*Y66,0)</f>
        <v>7136049</v>
      </c>
      <c r="Z67" s="2264"/>
      <c r="AA67" s="2264"/>
      <c r="AB67" s="2264"/>
      <c r="AC67" s="2264"/>
      <c r="AD67" s="1884" t="str">
        <f>IF(OR(Application!D211="At-Risk",Application!D211="At-Risk/Located in Rural Census Tract",Application!D214="At-Risk"),ROUND(AD63*AD66,0),"$0")</f>
        <v>$0</v>
      </c>
      <c r="AE67" s="2265"/>
      <c r="AF67" s="2265"/>
      <c r="AG67" s="2265"/>
      <c r="AH67" s="2265"/>
    </row>
    <row r="68" spans="1:40" ht="12.75" customHeight="1">
      <c r="C68" s="6"/>
      <c r="E68" s="1353" t="s">
        <v>2185</v>
      </c>
      <c r="F68" s="1355"/>
      <c r="G68" s="1352"/>
      <c r="H68" s="1352"/>
      <c r="I68" s="1352"/>
      <c r="J68" s="1352"/>
      <c r="K68" s="1352"/>
      <c r="L68" s="1352"/>
      <c r="M68" s="1352"/>
      <c r="N68" s="1352"/>
      <c r="O68" s="1352"/>
      <c r="P68" s="1352"/>
      <c r="Q68" s="1352"/>
      <c r="R68" s="1352"/>
      <c r="S68" s="1352"/>
      <c r="T68" s="1352"/>
      <c r="U68" s="1352"/>
      <c r="V68" s="1352"/>
      <c r="W68" s="1352"/>
      <c r="X68" s="1352"/>
      <c r="Y68" s="1352"/>
      <c r="Z68" s="1352"/>
      <c r="AA68" s="1352"/>
      <c r="AB68" s="1352"/>
      <c r="AC68" s="1352"/>
      <c r="AD68" s="1352"/>
      <c r="AE68" s="1352"/>
      <c r="AF68" s="1352"/>
      <c r="AG68" s="1352"/>
      <c r="AH68" s="1352"/>
    </row>
    <row r="69" spans="1:40" ht="13.2">
      <c r="A69" s="6" t="s">
        <v>135</v>
      </c>
      <c r="C69" s="6" t="s">
        <v>283</v>
      </c>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c r="AG69" s="1352"/>
      <c r="AH69" s="1352"/>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1">
        <f>5708269/7136049</f>
        <v>0.79992009584014911</v>
      </c>
      <c r="AC70" s="2262"/>
      <c r="AD70" s="2262"/>
      <c r="AE70" s="2262"/>
      <c r="AF70" s="2263"/>
      <c r="AG70" s="2"/>
      <c r="AH70" s="2"/>
      <c r="AI70" s="2"/>
      <c r="AJ70" s="2"/>
      <c r="AK70" s="2"/>
      <c r="AL70" s="2"/>
      <c r="AM70" s="2"/>
      <c r="AN70" s="2"/>
    </row>
    <row r="71" spans="1:40" ht="12.75" customHeight="1">
      <c r="A71" s="330"/>
      <c r="B71" s="2"/>
      <c r="C71" s="330"/>
      <c r="D71" s="330"/>
      <c r="E71" s="2266" t="s">
        <v>1975</v>
      </c>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803"/>
      <c r="AB71" s="803"/>
      <c r="AC71" s="803"/>
      <c r="AG71" s="2"/>
      <c r="AH71" s="2"/>
      <c r="AI71" s="2"/>
      <c r="AJ71" s="2"/>
      <c r="AK71" s="2"/>
      <c r="AL71" s="2"/>
      <c r="AM71" s="2"/>
      <c r="AN71" s="2"/>
    </row>
    <row r="72" spans="1:40" ht="12.75" customHeight="1">
      <c r="A72" s="330"/>
      <c r="B72" s="2"/>
      <c r="C72" s="330"/>
      <c r="D72" s="330"/>
      <c r="E72" s="2266"/>
      <c r="F72" s="2266"/>
      <c r="G72" s="2266"/>
      <c r="H72" s="2266"/>
      <c r="I72" s="2266"/>
      <c r="J72" s="2266"/>
      <c r="K72" s="2266"/>
      <c r="L72" s="2266"/>
      <c r="M72" s="2266"/>
      <c r="N72" s="2266"/>
      <c r="O72" s="2266"/>
      <c r="P72" s="2266"/>
      <c r="Q72" s="2266"/>
      <c r="R72" s="2266"/>
      <c r="S72" s="2266"/>
      <c r="T72" s="2266"/>
      <c r="U72" s="2266"/>
      <c r="V72" s="2266"/>
      <c r="W72" s="2266"/>
      <c r="X72" s="2266"/>
      <c r="Y72" s="2266"/>
      <c r="Z72" s="2266"/>
      <c r="AA72" s="803"/>
      <c r="AB72" s="803"/>
      <c r="AC72" s="803"/>
      <c r="AD72" s="1086"/>
      <c r="AE72" s="1086"/>
      <c r="AF72" s="1086"/>
      <c r="AG72" s="2"/>
      <c r="AH72" s="2"/>
      <c r="AI72" s="2"/>
      <c r="AJ72" s="2"/>
      <c r="AK72" s="2"/>
      <c r="AL72" s="2"/>
      <c r="AM72" s="2"/>
      <c r="AN72" s="2"/>
    </row>
    <row r="73" spans="1:40" ht="12" customHeight="1">
      <c r="A73" s="330"/>
      <c r="B73" s="2"/>
      <c r="C73" s="330"/>
      <c r="D73" s="330"/>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59">
        <f>ROUND(IF(ISERROR((AB58/AB70)),0,(AB58/AB70)),0)</f>
        <v>7136049</v>
      </c>
      <c r="AC75" s="2259"/>
      <c r="AD75" s="2259"/>
      <c r="AE75" s="2259"/>
      <c r="AF75" s="2259"/>
    </row>
    <row r="76" spans="1:40" ht="12.75" customHeight="1">
      <c r="C76" s="6"/>
      <c r="D76" s="6" t="s">
        <v>116</v>
      </c>
      <c r="AB76" s="2256">
        <f>IF((Y67+AD67&lt;AB75),Y67+AD67,AB75)</f>
        <v>7136049</v>
      </c>
      <c r="AC76" s="2257"/>
      <c r="AD76" s="2257"/>
      <c r="AE76" s="2257"/>
      <c r="AF76" s="2258"/>
    </row>
    <row r="77" spans="1:40" ht="12.75" customHeight="1">
      <c r="C77" s="6"/>
      <c r="D77" s="6" t="s">
        <v>1046</v>
      </c>
      <c r="AB77" s="2255">
        <f>AB76*AB70</f>
        <v>5708269</v>
      </c>
      <c r="AC77" s="2255"/>
      <c r="AD77" s="2255"/>
      <c r="AE77" s="2255"/>
      <c r="AF77" s="2255"/>
    </row>
    <row r="78" spans="1:40" ht="12.75" customHeight="1">
      <c r="C78" s="6"/>
      <c r="D78" s="6"/>
      <c r="AB78" s="934"/>
      <c r="AC78" s="934"/>
      <c r="AD78" s="934"/>
      <c r="AE78" s="934"/>
      <c r="AF78" s="934"/>
    </row>
    <row r="79" spans="1:40" ht="12.75" customHeight="1">
      <c r="A79" s="1"/>
      <c r="B79" s="1"/>
      <c r="C79" s="1"/>
      <c r="D79" s="6" t="s">
        <v>117</v>
      </c>
      <c r="AB79" s="2254">
        <f>AB48-(AB56+AB77)</f>
        <v>0</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20" zoomScaleNormal="120" zoomScaleSheetLayoutView="100" workbookViewId="0">
      <selection activeCell="AM11" sqref="AM11"/>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1"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975" t="s">
        <v>928</v>
      </c>
      <c r="B1" s="1975"/>
      <c r="C1" s="1975"/>
      <c r="D1" s="1975"/>
      <c r="E1" s="1975"/>
      <c r="F1" s="1975"/>
      <c r="G1" s="1975"/>
      <c r="H1" s="1975"/>
      <c r="I1" s="1975"/>
      <c r="J1" s="1975"/>
      <c r="K1" s="1975"/>
      <c r="L1" s="1975"/>
      <c r="M1" s="1975"/>
      <c r="N1" s="1975"/>
      <c r="O1" s="1975"/>
      <c r="P1" s="1975"/>
      <c r="Q1" s="1975"/>
      <c r="R1" s="1975"/>
      <c r="S1" s="1975"/>
      <c r="T1" s="1975"/>
      <c r="U1" s="1975"/>
      <c r="V1" s="1975"/>
      <c r="W1" s="1975"/>
      <c r="X1" s="1975"/>
      <c r="Y1" s="1975"/>
      <c r="Z1" s="1975"/>
      <c r="AA1" s="1975"/>
      <c r="AB1" s="1975"/>
      <c r="AC1" s="1975"/>
      <c r="AD1" s="1975"/>
      <c r="AE1" s="1975"/>
      <c r="AF1" s="1975"/>
      <c r="AG1" s="1975"/>
      <c r="AH1" s="1975"/>
      <c r="AI1" s="1975"/>
      <c r="AJ1" s="1975"/>
      <c r="AK1" s="1975"/>
      <c r="AL1" s="1975"/>
      <c r="AM1" s="1975"/>
    </row>
    <row r="2" spans="1:42" s="8" customFormat="1" ht="12.75" customHeight="1" thickBot="1">
      <c r="A2" s="1976"/>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1634</v>
      </c>
      <c r="AE4" s="2477" t="s">
        <v>408</v>
      </c>
      <c r="AF4" s="2477"/>
      <c r="AG4" s="2477"/>
      <c r="AH4" s="2477"/>
      <c r="AI4" s="2477"/>
      <c r="AJ4" s="2477"/>
      <c r="AK4" s="2477"/>
      <c r="AL4" s="1301"/>
      <c r="AM4" s="48"/>
      <c r="AN4" s="1133"/>
    </row>
    <row r="5" spans="1:42" s="63" customFormat="1" ht="12.9" customHeight="1">
      <c r="A5" s="142"/>
      <c r="AE5" s="33"/>
      <c r="AF5" s="33"/>
      <c r="AG5" s="33"/>
      <c r="AH5" s="33"/>
      <c r="AI5" s="33"/>
      <c r="AJ5" s="33"/>
      <c r="AK5" s="33"/>
      <c r="AL5" s="1301"/>
      <c r="AM5" s="48"/>
      <c r="AN5" s="1133"/>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4" t="s">
        <v>937</v>
      </c>
      <c r="AG6" s="2364"/>
      <c r="AH6" s="2364"/>
      <c r="AI6" s="2364"/>
      <c r="AJ6" s="2364"/>
      <c r="AK6" s="2364"/>
      <c r="AL6" s="2364"/>
      <c r="AM6" s="48"/>
      <c r="AN6" s="1132"/>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470" t="s">
        <v>2329</v>
      </c>
      <c r="C8" s="2470"/>
      <c r="D8" s="2470"/>
      <c r="E8" s="2470"/>
      <c r="F8" s="2470"/>
      <c r="G8" s="2470"/>
      <c r="H8" s="2470"/>
      <c r="I8" s="2470"/>
      <c r="J8" s="2470"/>
      <c r="K8" s="2470"/>
      <c r="L8" s="2470"/>
      <c r="M8" s="2470"/>
      <c r="N8" s="2470"/>
      <c r="O8" s="2470"/>
      <c r="P8" s="2470"/>
      <c r="Q8" s="2470"/>
      <c r="R8" s="2470"/>
      <c r="S8" s="2470"/>
      <c r="T8" s="2470"/>
      <c r="U8" s="2470"/>
      <c r="V8" s="2470"/>
      <c r="W8" s="2470"/>
      <c r="X8" s="2470"/>
      <c r="Y8" s="2470"/>
      <c r="Z8" s="2470"/>
      <c r="AA8" s="2470"/>
      <c r="AB8" s="2470"/>
      <c r="AC8" s="2470"/>
      <c r="AD8" s="63"/>
      <c r="AE8" s="179"/>
      <c r="AF8" s="179"/>
      <c r="AG8" s="179"/>
      <c r="AH8" s="179"/>
      <c r="AI8" s="179"/>
      <c r="AJ8" s="179"/>
      <c r="AK8" s="179"/>
      <c r="AL8" s="1300"/>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3" t="s">
        <v>1377</v>
      </c>
      <c r="AP10" s="745">
        <v>5</v>
      </c>
    </row>
    <row r="11" spans="1:42" s="8" customFormat="1" ht="12.75" customHeight="1">
      <c r="A11" s="142"/>
      <c r="B11" s="2470" t="s">
        <v>1378</v>
      </c>
      <c r="C11" s="2470"/>
      <c r="D11" s="2470"/>
      <c r="E11" s="2470"/>
      <c r="F11" s="2470"/>
      <c r="G11" s="2470"/>
      <c r="H11" s="2470"/>
      <c r="I11" s="2470"/>
      <c r="J11" s="2470"/>
      <c r="K11" s="2470"/>
      <c r="L11" s="2470"/>
      <c r="M11" s="2470"/>
      <c r="N11" s="2470"/>
      <c r="O11" s="2470"/>
      <c r="P11" s="2470"/>
      <c r="Q11" s="2470"/>
      <c r="R11" s="2470"/>
      <c r="S11" s="2470"/>
      <c r="T11" s="2470"/>
      <c r="U11" s="2470"/>
      <c r="V11" s="2470"/>
      <c r="W11" s="2470"/>
      <c r="X11" s="2470"/>
      <c r="Y11" s="2470"/>
      <c r="Z11" s="2470"/>
      <c r="AA11" s="2470"/>
      <c r="AB11" s="2470"/>
      <c r="AC11" s="2470"/>
      <c r="AD11" s="2470"/>
      <c r="AE11" s="2470"/>
      <c r="AF11" s="2470"/>
      <c r="AG11" s="2470"/>
      <c r="AH11" s="2470"/>
      <c r="AI11" s="2470"/>
      <c r="AM11" s="48"/>
      <c r="AN11" s="1132"/>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3"/>
      <c r="AP12" s="745"/>
    </row>
    <row r="13" spans="1:42" s="8" customFormat="1" ht="12.75" customHeight="1">
      <c r="A13" s="537"/>
      <c r="B13" s="205" t="s">
        <v>1379</v>
      </c>
      <c r="AB13" s="2471" t="s">
        <v>119</v>
      </c>
      <c r="AC13" s="2471"/>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3" t="s">
        <v>1380</v>
      </c>
      <c r="AP15" s="745">
        <v>5</v>
      </c>
    </row>
    <row r="16" spans="1:42" s="8" customFormat="1" ht="12.75" customHeight="1">
      <c r="A16" s="142"/>
      <c r="B16" s="2470" t="s">
        <v>1240</v>
      </c>
      <c r="C16" s="2470"/>
      <c r="D16" s="2470"/>
      <c r="E16" s="2470"/>
      <c r="F16" s="2470"/>
      <c r="G16" s="2470"/>
      <c r="H16" s="2470"/>
      <c r="I16" s="2470"/>
      <c r="J16" s="2470"/>
      <c r="K16" s="2470"/>
      <c r="L16" s="2470"/>
      <c r="M16" s="2470"/>
      <c r="N16" s="2470"/>
      <c r="O16" s="2470"/>
      <c r="P16" s="2470"/>
      <c r="Q16" s="2470"/>
      <c r="R16" s="2470"/>
      <c r="S16" s="2470"/>
      <c r="T16" s="2470"/>
      <c r="U16" s="2470"/>
      <c r="V16" s="2470"/>
      <c r="W16" s="2470"/>
      <c r="X16" s="2470"/>
      <c r="Y16" s="2470"/>
      <c r="Z16" s="2470"/>
      <c r="AA16" s="2470"/>
      <c r="AB16" s="2470"/>
      <c r="AC16" s="2470"/>
      <c r="AD16" s="2470"/>
      <c r="AE16" s="2470"/>
      <c r="AF16" s="2470"/>
      <c r="AG16" s="2470"/>
      <c r="AH16" s="2470"/>
      <c r="AI16" s="2470"/>
      <c r="AJ16" s="2470"/>
      <c r="AK16" s="780"/>
      <c r="AL16" s="780"/>
      <c r="AM16" s="780"/>
      <c r="AN16" s="1132"/>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2"/>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554" t="s">
        <v>1844</v>
      </c>
      <c r="C20" s="2554"/>
      <c r="D20" s="2554"/>
      <c r="E20" s="2554"/>
      <c r="F20" s="2554"/>
      <c r="G20" s="2554"/>
      <c r="H20" s="2554"/>
      <c r="I20" s="2554"/>
      <c r="J20" s="2554"/>
      <c r="K20" s="2554"/>
      <c r="L20" s="2554"/>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1302"/>
      <c r="AM20" s="38"/>
      <c r="AN20" s="1132"/>
    </row>
    <row r="21" spans="1:42" s="8" customFormat="1" ht="12.75" customHeight="1">
      <c r="A21" s="38"/>
      <c r="B21" s="2554"/>
      <c r="C21" s="2554"/>
      <c r="D21" s="2554"/>
      <c r="E21" s="2554"/>
      <c r="F21" s="2554"/>
      <c r="G21" s="2554"/>
      <c r="H21" s="2554"/>
      <c r="I21" s="2554"/>
      <c r="J21" s="2554"/>
      <c r="K21" s="2554"/>
      <c r="L21" s="2554"/>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1302"/>
      <c r="AM21" s="38"/>
      <c r="AN21" s="1132"/>
      <c r="AP21" s="535"/>
    </row>
    <row r="22" spans="1:42" s="8" customFormat="1" ht="12.75" customHeight="1">
      <c r="A22" s="38"/>
      <c r="B22" s="2554"/>
      <c r="C22" s="2554"/>
      <c r="D22" s="2554"/>
      <c r="E22" s="2554"/>
      <c r="F22" s="2554"/>
      <c r="G22" s="2554"/>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1302"/>
      <c r="AM22" s="38"/>
      <c r="AN22" s="1132"/>
    </row>
    <row r="23" spans="1:42" s="46" customFormat="1" ht="12.75" customHeight="1">
      <c r="A23" s="38"/>
      <c r="B23" s="2554"/>
      <c r="C23" s="2554"/>
      <c r="D23" s="2554"/>
      <c r="E23" s="2554"/>
      <c r="F23" s="2554"/>
      <c r="G23" s="2554"/>
      <c r="H23" s="2554"/>
      <c r="I23" s="2554"/>
      <c r="J23" s="2554"/>
      <c r="K23" s="2554"/>
      <c r="L23" s="2554"/>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1302"/>
      <c r="AM23" s="38"/>
      <c r="AN23" s="439"/>
    </row>
    <row r="24" spans="1:42" s="46" customFormat="1" ht="12.75" customHeight="1">
      <c r="A24" s="38"/>
      <c r="B24" s="2554"/>
      <c r="C24" s="2554"/>
      <c r="D24" s="2554"/>
      <c r="E24" s="2554"/>
      <c r="F24" s="2554"/>
      <c r="G24" s="2554"/>
      <c r="H24" s="2554"/>
      <c r="I24" s="2554"/>
      <c r="J24" s="2554"/>
      <c r="K24" s="2554"/>
      <c r="L24" s="2554"/>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1302"/>
      <c r="AM24" s="38"/>
      <c r="AN24" s="1135"/>
      <c r="AO24" s="155"/>
    </row>
    <row r="25" spans="1:42" s="46" customFormat="1" ht="12.75" customHeight="1">
      <c r="A25" s="38"/>
      <c r="B25" s="2554"/>
      <c r="C25" s="2554"/>
      <c r="D25" s="2554"/>
      <c r="E25" s="2554"/>
      <c r="F25" s="2554"/>
      <c r="G25" s="2554"/>
      <c r="H25" s="2554"/>
      <c r="I25" s="2554"/>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1302"/>
      <c r="AM25" s="38"/>
      <c r="AN25" s="1135"/>
    </row>
    <row r="26" spans="1:42" s="137" customFormat="1" ht="12.75" customHeight="1">
      <c r="A26" s="38"/>
      <c r="B26" s="2554"/>
      <c r="C26" s="2554"/>
      <c r="D26" s="2554"/>
      <c r="E26" s="2554"/>
      <c r="F26" s="2554"/>
      <c r="G26" s="2554"/>
      <c r="H26" s="2554"/>
      <c r="I26" s="2554"/>
      <c r="J26" s="2554"/>
      <c r="K26" s="2554"/>
      <c r="L26" s="2554"/>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1302"/>
      <c r="AM26" s="38"/>
      <c r="AN26" s="1136"/>
    </row>
    <row r="27" spans="1:42" s="46" customFormat="1" ht="12.75" customHeight="1">
      <c r="A27" s="38"/>
      <c r="B27" s="2554"/>
      <c r="C27" s="2554"/>
      <c r="D27" s="2554"/>
      <c r="E27" s="2554"/>
      <c r="F27" s="2554"/>
      <c r="G27" s="2554"/>
      <c r="H27" s="2554"/>
      <c r="I27" s="2554"/>
      <c r="J27" s="2554"/>
      <c r="K27" s="2554"/>
      <c r="L27" s="2554"/>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1302"/>
      <c r="AM27" s="38"/>
      <c r="AN27" s="1137"/>
    </row>
    <row r="28" spans="1:42" s="46" customFormat="1" ht="12.75" customHeight="1">
      <c r="A28" s="38"/>
      <c r="B28" s="2554"/>
      <c r="C28" s="2554"/>
      <c r="D28" s="2554"/>
      <c r="E28" s="2554"/>
      <c r="F28" s="2554"/>
      <c r="G28" s="2554"/>
      <c r="H28" s="2554"/>
      <c r="I28" s="2554"/>
      <c r="J28" s="2554"/>
      <c r="K28" s="2554"/>
      <c r="L28" s="2554"/>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1302"/>
      <c r="AM28" s="38"/>
      <c r="AN28" s="1137"/>
    </row>
    <row r="29" spans="1:42" s="46" customFormat="1" ht="31.65" customHeight="1">
      <c r="A29" s="38"/>
      <c r="B29" s="2554"/>
      <c r="C29" s="2554"/>
      <c r="D29" s="2554"/>
      <c r="E29" s="2554"/>
      <c r="F29" s="2554"/>
      <c r="G29" s="2554"/>
      <c r="H29" s="2554"/>
      <c r="I29" s="2554"/>
      <c r="J29" s="2554"/>
      <c r="K29" s="2554"/>
      <c r="L29" s="2554"/>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1302"/>
      <c r="AM29" s="38"/>
      <c r="AN29" s="1137"/>
      <c r="AO29" s="747" t="s">
        <v>86</v>
      </c>
      <c r="AP29" s="596"/>
    </row>
    <row r="30" spans="1:42" s="46" customFormat="1" ht="12.75" customHeight="1">
      <c r="A30" s="8"/>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
      <c r="AM30" s="74"/>
      <c r="AN30" s="1137"/>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8">
        <f>IF((AND(AND(OR(Application!D211="Nonprofit (qualified nonprofit organization)",Application!D211="Nonprofit (homeless assistance)",Application!D211="Special Needs/SRO"),Application!D214="Special Needs"),$AB$13="N/A")),VLOOKUP($B$16,$AO$14:$AP$16,2,FALSE),VLOOKUP($B$11,$AO$9:$AP$11,2,FALSE))</f>
        <v>7</v>
      </c>
      <c r="AK31" s="2478"/>
      <c r="AL31" s="1305"/>
      <c r="AM31" s="136"/>
      <c r="AN31" s="1137"/>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4" t="s">
        <v>66</v>
      </c>
      <c r="AG33" s="2364"/>
      <c r="AH33" s="2364"/>
      <c r="AI33" s="2364"/>
      <c r="AJ33" s="2364"/>
      <c r="AK33" s="2364"/>
      <c r="AL33" s="2364"/>
      <c r="AM33" s="151"/>
      <c r="AN33" s="1137"/>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6"/>
      <c r="AP34" s="746"/>
    </row>
    <row r="35" spans="1:43" s="46" customFormat="1" ht="12.75" customHeight="1">
      <c r="A35" s="8"/>
      <c r="C35" s="2470" t="s">
        <v>1382</v>
      </c>
      <c r="D35" s="2470"/>
      <c r="E35" s="2470"/>
      <c r="F35" s="2470"/>
      <c r="G35" s="2470"/>
      <c r="H35" s="2470"/>
      <c r="I35" s="2470"/>
      <c r="J35" s="2470"/>
      <c r="K35" s="2470"/>
      <c r="L35" s="2470"/>
      <c r="M35" s="2470"/>
      <c r="N35" s="2470"/>
      <c r="O35" s="2470"/>
      <c r="P35" s="2470"/>
      <c r="Q35" s="2470"/>
      <c r="R35" s="2470"/>
      <c r="S35" s="2470"/>
      <c r="T35" s="2470"/>
      <c r="U35" s="2470"/>
      <c r="V35" s="2470"/>
      <c r="W35" s="2470"/>
      <c r="X35" s="2470"/>
      <c r="Y35" s="2470"/>
      <c r="Z35" s="2470"/>
      <c r="AA35" s="2470"/>
      <c r="AB35" s="2470"/>
      <c r="AC35" s="2470"/>
      <c r="AD35" s="2470"/>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1" t="s">
        <v>119</v>
      </c>
      <c r="AD37" s="2471"/>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0" t="s">
        <v>1240</v>
      </c>
      <c r="D40" s="2470"/>
      <c r="E40" s="2470"/>
      <c r="F40" s="2470"/>
      <c r="G40" s="2470"/>
      <c r="H40" s="2470"/>
      <c r="I40" s="2470"/>
      <c r="J40" s="2470"/>
      <c r="K40" s="2470"/>
      <c r="L40" s="2470"/>
      <c r="M40" s="2470"/>
      <c r="N40" s="2470"/>
      <c r="O40" s="2470"/>
      <c r="P40" s="2470"/>
      <c r="Q40" s="2470"/>
      <c r="R40" s="2470"/>
      <c r="S40" s="2470"/>
      <c r="T40" s="2470"/>
      <c r="U40" s="2470"/>
      <c r="V40" s="2470"/>
      <c r="W40" s="2470"/>
      <c r="X40" s="2470"/>
      <c r="Y40" s="2470"/>
      <c r="Z40" s="2470"/>
      <c r="AA40" s="2470"/>
      <c r="AB40" s="2470"/>
      <c r="AC40" s="2470"/>
      <c r="AD40" s="2470"/>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0" t="s">
        <v>2378</v>
      </c>
      <c r="D45" s="2470"/>
      <c r="E45" s="2470"/>
      <c r="F45" s="2470"/>
      <c r="G45" s="2470"/>
      <c r="H45" s="2470"/>
      <c r="I45" s="2470"/>
      <c r="J45" s="2470"/>
      <c r="K45" s="2470"/>
      <c r="L45" s="2470"/>
      <c r="M45" s="2470"/>
      <c r="N45" s="2470"/>
      <c r="O45" s="2470"/>
      <c r="P45" s="2470"/>
      <c r="Q45" s="2470"/>
      <c r="R45" s="2470"/>
      <c r="S45" s="2470"/>
      <c r="T45" s="2470"/>
      <c r="U45" s="2470"/>
      <c r="V45" s="2470"/>
      <c r="W45" s="2470"/>
      <c r="X45" s="2470"/>
      <c r="Y45" s="2470"/>
      <c r="Z45" s="2470"/>
      <c r="AA45" s="2470"/>
      <c r="AB45" s="2470"/>
      <c r="AC45" s="2470"/>
      <c r="AD45" s="2470"/>
      <c r="AM45" s="151"/>
      <c r="AN45" s="1136"/>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18" t="s">
        <v>1648</v>
      </c>
      <c r="C49" s="2318"/>
      <c r="D49" s="2318"/>
      <c r="E49" s="2318"/>
      <c r="F49" s="2318"/>
      <c r="G49" s="2318"/>
      <c r="H49" s="2318"/>
      <c r="I49" s="2318"/>
      <c r="J49" s="2318"/>
      <c r="K49" s="2318"/>
      <c r="L49" s="2318"/>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1299"/>
      <c r="AM49" s="163"/>
      <c r="AN49" s="439"/>
      <c r="AP49" s="46" t="s">
        <v>624</v>
      </c>
      <c r="AQ49" s="46">
        <v>10</v>
      </c>
    </row>
    <row r="50" spans="1:43" s="46" customFormat="1" ht="12.75" customHeight="1">
      <c r="A50" s="164"/>
      <c r="B50" s="2318"/>
      <c r="C50" s="2318"/>
      <c r="D50" s="2318"/>
      <c r="E50" s="2318"/>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1299"/>
      <c r="AM50" s="163"/>
      <c r="AN50" s="439"/>
      <c r="AP50" s="46" t="s">
        <v>681</v>
      </c>
      <c r="AQ50" s="46">
        <v>10</v>
      </c>
    </row>
    <row r="51" spans="1:43" s="46" customFormat="1" ht="12.75" customHeight="1">
      <c r="A51" s="164"/>
      <c r="B51" s="2318"/>
      <c r="C51" s="2318"/>
      <c r="D51" s="2318"/>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1299"/>
      <c r="AM51" s="163"/>
      <c r="AN51" s="439"/>
    </row>
    <row r="52" spans="1:43" s="137" customFormat="1" ht="12.75" customHeight="1">
      <c r="A52" s="164"/>
      <c r="B52" s="2318"/>
      <c r="C52" s="2318"/>
      <c r="D52" s="2318"/>
      <c r="E52" s="2318"/>
      <c r="F52" s="2318"/>
      <c r="G52" s="2318"/>
      <c r="H52" s="2318"/>
      <c r="I52" s="2318"/>
      <c r="J52" s="2318"/>
      <c r="K52" s="2318"/>
      <c r="L52" s="2318"/>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1299"/>
      <c r="AM52" s="163"/>
      <c r="AN52" s="1136"/>
    </row>
    <row r="53" spans="1:43" s="46" customFormat="1" ht="12.75" customHeight="1">
      <c r="A53" s="164"/>
      <c r="B53" s="2318"/>
      <c r="C53" s="2318"/>
      <c r="D53" s="2318"/>
      <c r="E53" s="2318"/>
      <c r="F53" s="2318"/>
      <c r="G53" s="2318"/>
      <c r="H53" s="2318"/>
      <c r="I53" s="2318"/>
      <c r="J53" s="2318"/>
      <c r="K53" s="2318"/>
      <c r="L53" s="2318"/>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1299"/>
      <c r="AM53" s="163"/>
      <c r="AN53" s="439"/>
    </row>
    <row r="54" spans="1:43" s="46" customFormat="1" ht="12.75" customHeight="1">
      <c r="A54" s="164"/>
      <c r="B54" s="2318"/>
      <c r="C54" s="2318"/>
      <c r="D54" s="2318"/>
      <c r="E54" s="2318"/>
      <c r="F54" s="2318"/>
      <c r="G54" s="2318"/>
      <c r="H54" s="2318"/>
      <c r="I54" s="2318"/>
      <c r="J54" s="2318"/>
      <c r="K54" s="2318"/>
      <c r="L54" s="2318"/>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1299"/>
      <c r="AM54" s="163"/>
      <c r="AN54" s="439"/>
    </row>
    <row r="55" spans="1:43" s="46" customFormat="1" ht="33.450000000000003" customHeight="1">
      <c r="A55" s="164"/>
      <c r="B55" s="2318"/>
      <c r="C55" s="2318"/>
      <c r="D55" s="2318"/>
      <c r="E55" s="2318"/>
      <c r="F55" s="2318"/>
      <c r="G55" s="2318"/>
      <c r="H55" s="2318"/>
      <c r="I55" s="2318"/>
      <c r="J55" s="2318"/>
      <c r="K55" s="2318"/>
      <c r="L55" s="2318"/>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8" t="s">
        <v>1649</v>
      </c>
      <c r="C57" s="2318"/>
      <c r="D57" s="2318"/>
      <c r="E57" s="2318"/>
      <c r="F57" s="2318"/>
      <c r="G57" s="2318"/>
      <c r="H57" s="2318"/>
      <c r="I57" s="2318"/>
      <c r="J57" s="2318"/>
      <c r="K57" s="2318"/>
      <c r="L57" s="2318"/>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1299"/>
      <c r="AM57" s="163"/>
      <c r="AN57" s="439"/>
    </row>
    <row r="58" spans="1:43" s="46" customFormat="1" ht="12.75" customHeight="1">
      <c r="A58" s="164"/>
      <c r="B58" s="2318"/>
      <c r="C58" s="2318"/>
      <c r="D58" s="2318"/>
      <c r="E58" s="2318"/>
      <c r="F58" s="2318"/>
      <c r="G58" s="2318"/>
      <c r="H58" s="2318"/>
      <c r="I58" s="2318"/>
      <c r="J58" s="2318"/>
      <c r="K58" s="2318"/>
      <c r="L58" s="2318"/>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1299"/>
      <c r="AM58" s="163"/>
      <c r="AN58" s="439"/>
    </row>
    <row r="59" spans="1:43" s="46" customFormat="1" ht="12.75" customHeight="1">
      <c r="A59" s="164"/>
      <c r="B59" s="2318"/>
      <c r="C59" s="2318"/>
      <c r="D59" s="2318"/>
      <c r="E59" s="2318"/>
      <c r="F59" s="2318"/>
      <c r="G59" s="2318"/>
      <c r="H59" s="2318"/>
      <c r="I59" s="2318"/>
      <c r="J59" s="2318"/>
      <c r="K59" s="2318"/>
      <c r="L59" s="2318"/>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1299"/>
      <c r="AM59" s="163"/>
      <c r="AN59" s="439"/>
    </row>
    <row r="60" spans="1:43" s="46" customFormat="1" ht="17.7" customHeight="1">
      <c r="A60" s="164"/>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18" t="s">
        <v>1650</v>
      </c>
      <c r="C62" s="2318"/>
      <c r="D62" s="2318"/>
      <c r="E62" s="2318"/>
      <c r="F62" s="2318"/>
      <c r="G62" s="2318"/>
      <c r="H62" s="2318"/>
      <c r="I62" s="2318"/>
      <c r="J62" s="2318"/>
      <c r="K62" s="2318"/>
      <c r="L62" s="2318"/>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1299"/>
      <c r="AM62" s="163"/>
      <c r="AN62" s="439"/>
    </row>
    <row r="63" spans="1:43" s="46" customFormat="1" ht="12.75" customHeight="1">
      <c r="B63" s="2318"/>
      <c r="C63" s="2318"/>
      <c r="D63" s="2318"/>
      <c r="E63" s="2318"/>
      <c r="F63" s="2318"/>
      <c r="G63" s="2318"/>
      <c r="H63" s="2318"/>
      <c r="I63" s="2318"/>
      <c r="J63" s="2318"/>
      <c r="K63" s="2318"/>
      <c r="L63" s="2318"/>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1299"/>
      <c r="AM63" s="163"/>
      <c r="AN63" s="439"/>
    </row>
    <row r="64" spans="1:43" s="46" customFormat="1" ht="22.95" customHeight="1">
      <c r="A64" s="675"/>
      <c r="B64" s="2318"/>
      <c r="C64" s="2318"/>
      <c r="D64" s="2318"/>
      <c r="E64" s="2318"/>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129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1242</v>
      </c>
      <c r="AK66" s="2436">
        <f>$AJ$31+$AJ$47</f>
        <v>10</v>
      </c>
      <c r="AL66" s="2437"/>
      <c r="AM66" s="243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5" t="s">
        <v>408</v>
      </c>
      <c r="AF69" s="2375"/>
      <c r="AG69" s="2375"/>
      <c r="AH69" s="2375"/>
      <c r="AI69" s="2375"/>
      <c r="AJ69" s="2375"/>
      <c r="AK69" s="2375"/>
      <c r="AL69" s="129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0" t="s">
        <v>730</v>
      </c>
      <c r="C71" s="2470"/>
      <c r="D71" s="2470"/>
      <c r="E71" s="2470"/>
      <c r="F71" s="2470"/>
      <c r="G71" s="2470"/>
      <c r="H71" s="2470"/>
      <c r="I71" s="2470"/>
      <c r="J71" s="2470"/>
      <c r="K71" s="2470"/>
      <c r="P71" s="153"/>
      <c r="Q71" s="153"/>
      <c r="R71" s="153"/>
      <c r="S71" s="153"/>
      <c r="T71" s="153"/>
      <c r="U71" s="153"/>
      <c r="V71" s="153"/>
      <c r="W71" s="153"/>
      <c r="X71" s="153"/>
      <c r="AF71" s="2364" t="s">
        <v>1042</v>
      </c>
      <c r="AG71" s="2364"/>
      <c r="AH71" s="2364"/>
      <c r="AI71" s="2364"/>
      <c r="AJ71" s="2364"/>
      <c r="AK71" s="2364"/>
      <c r="AL71" s="2364"/>
      <c r="AN71" s="439"/>
      <c r="AP71" s="46" t="s">
        <v>136</v>
      </c>
    </row>
    <row r="72" spans="1:42" s="46" customFormat="1" ht="12.75" customHeight="1">
      <c r="B72" s="2479" t="s">
        <v>1460</v>
      </c>
      <c r="C72" s="2479"/>
      <c r="D72" s="2479"/>
      <c r="E72" s="2479"/>
      <c r="F72" s="2479"/>
      <c r="G72" s="2479"/>
      <c r="H72" s="2479"/>
      <c r="I72" s="2479"/>
      <c r="J72" s="2479"/>
      <c r="K72" s="2479"/>
      <c r="L72" s="2479"/>
      <c r="M72" s="2479"/>
      <c r="N72" s="2479"/>
      <c r="O72" s="2479"/>
      <c r="P72" s="2479"/>
      <c r="Q72" s="2479"/>
      <c r="R72" s="2479"/>
      <c r="S72" s="2479"/>
      <c r="T72" s="2470" t="s">
        <v>136</v>
      </c>
      <c r="U72" s="2470"/>
      <c r="V72" s="2470"/>
      <c r="W72" s="2470"/>
      <c r="X72" s="2470"/>
      <c r="Y72" s="2470"/>
      <c r="Z72" s="2470"/>
      <c r="AA72" s="2470"/>
      <c r="AB72" s="2470"/>
      <c r="AC72" s="2470"/>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648</v>
      </c>
      <c r="AK73" s="2359">
        <f>VLOOKUP($B$71,$AP$45:$AR$50,2,FALSE)</f>
        <v>10</v>
      </c>
      <c r="AL73" s="2417"/>
      <c r="AM73" s="2417"/>
      <c r="AN73" s="1324"/>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1081</v>
      </c>
      <c r="AF78" s="2375"/>
      <c r="AG78" s="2375"/>
      <c r="AH78" s="2375"/>
      <c r="AI78" s="2375"/>
      <c r="AJ78" s="2375"/>
      <c r="AK78" s="2375"/>
      <c r="AL78" s="129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18" t="s">
        <v>2084</v>
      </c>
      <c r="C80" s="2318"/>
      <c r="D80" s="2318"/>
      <c r="E80" s="2318"/>
      <c r="F80" s="2318"/>
      <c r="G80" s="2318"/>
      <c r="H80" s="2318"/>
      <c r="I80" s="2318"/>
      <c r="J80" s="2318"/>
      <c r="K80" s="2318"/>
      <c r="L80" s="2318"/>
      <c r="M80" s="2318"/>
      <c r="N80" s="2318"/>
      <c r="O80" s="2318"/>
      <c r="P80" s="2318"/>
      <c r="Q80" s="2318"/>
      <c r="R80" s="2318"/>
      <c r="S80" s="2318"/>
      <c r="T80" s="2318"/>
      <c r="U80" s="2318"/>
      <c r="V80" s="2318"/>
      <c r="W80" s="2318"/>
      <c r="X80" s="2318"/>
      <c r="Y80" s="2318"/>
      <c r="Z80" s="2318"/>
      <c r="AA80" s="2318"/>
      <c r="AB80" s="2318"/>
      <c r="AC80" s="2318"/>
      <c r="AD80" s="2318"/>
      <c r="AE80" s="2318"/>
      <c r="AF80" s="2318"/>
      <c r="AG80" s="2318"/>
      <c r="AH80" s="2318"/>
      <c r="AI80" s="2318"/>
      <c r="AJ80" s="2318"/>
      <c r="AK80" s="2318"/>
      <c r="AL80" s="1299"/>
      <c r="AM80" s="163"/>
      <c r="AN80" s="439"/>
    </row>
    <row r="81" spans="1:42" s="46" customFormat="1" ht="12.75" customHeight="1">
      <c r="A81" s="163"/>
      <c r="B81" s="2318"/>
      <c r="C81" s="2318"/>
      <c r="D81" s="2318"/>
      <c r="E81" s="2318"/>
      <c r="F81" s="2318"/>
      <c r="G81" s="2318"/>
      <c r="H81" s="2318"/>
      <c r="I81" s="2318"/>
      <c r="J81" s="2318"/>
      <c r="K81" s="2318"/>
      <c r="L81" s="2318"/>
      <c r="M81" s="2318"/>
      <c r="N81" s="2318"/>
      <c r="O81" s="2318"/>
      <c r="P81" s="2318"/>
      <c r="Q81" s="2318"/>
      <c r="R81" s="2318"/>
      <c r="S81" s="2318"/>
      <c r="T81" s="2318"/>
      <c r="U81" s="2318"/>
      <c r="V81" s="2318"/>
      <c r="W81" s="2318"/>
      <c r="X81" s="2318"/>
      <c r="Y81" s="2318"/>
      <c r="Z81" s="2318"/>
      <c r="AA81" s="2318"/>
      <c r="AB81" s="2318"/>
      <c r="AC81" s="2318"/>
      <c r="AD81" s="2318"/>
      <c r="AE81" s="2318"/>
      <c r="AF81" s="2318"/>
      <c r="AG81" s="2318"/>
      <c r="AH81" s="2318"/>
      <c r="AI81" s="2318"/>
      <c r="AJ81" s="2318"/>
      <c r="AK81" s="2318"/>
      <c r="AL81" s="1299"/>
      <c r="AM81" s="163"/>
      <c r="AN81" s="439"/>
    </row>
    <row r="82" spans="1:42" s="46" customFormat="1" ht="12.75" customHeight="1">
      <c r="A82" s="163"/>
      <c r="B82" s="2318"/>
      <c r="C82" s="2318"/>
      <c r="D82" s="2318"/>
      <c r="E82" s="2318"/>
      <c r="F82" s="2318"/>
      <c r="G82" s="2318"/>
      <c r="H82" s="2318"/>
      <c r="I82" s="2318"/>
      <c r="J82" s="2318"/>
      <c r="K82" s="2318"/>
      <c r="L82" s="2318"/>
      <c r="M82" s="2318"/>
      <c r="N82" s="2318"/>
      <c r="O82" s="2318"/>
      <c r="P82" s="2318"/>
      <c r="Q82" s="2318"/>
      <c r="R82" s="2318"/>
      <c r="S82" s="2318"/>
      <c r="T82" s="2318"/>
      <c r="U82" s="2318"/>
      <c r="V82" s="2318"/>
      <c r="W82" s="2318"/>
      <c r="X82" s="2318"/>
      <c r="Y82" s="2318"/>
      <c r="Z82" s="2318"/>
      <c r="AA82" s="2318"/>
      <c r="AB82" s="2318"/>
      <c r="AC82" s="2318"/>
      <c r="AD82" s="2318"/>
      <c r="AE82" s="2318"/>
      <c r="AF82" s="2318"/>
      <c r="AG82" s="2318"/>
      <c r="AH82" s="2318"/>
      <c r="AI82" s="2318"/>
      <c r="AJ82" s="2318"/>
      <c r="AK82" s="2318"/>
      <c r="AL82" s="1299"/>
      <c r="AM82" s="163"/>
      <c r="AN82" s="439"/>
    </row>
    <row r="83" spans="1:42" s="46" customFormat="1" ht="12.75" customHeight="1">
      <c r="A83" s="163"/>
      <c r="B83" s="2318"/>
      <c r="C83" s="2318"/>
      <c r="D83" s="2318"/>
      <c r="E83" s="2318"/>
      <c r="F83" s="2318"/>
      <c r="G83" s="2318"/>
      <c r="H83" s="2318"/>
      <c r="I83" s="2318"/>
      <c r="J83" s="2318"/>
      <c r="K83" s="2318"/>
      <c r="L83" s="2318"/>
      <c r="M83" s="2318"/>
      <c r="N83" s="2318"/>
      <c r="O83" s="2318"/>
      <c r="P83" s="2318"/>
      <c r="Q83" s="2318"/>
      <c r="R83" s="2318"/>
      <c r="S83" s="2318"/>
      <c r="T83" s="2318"/>
      <c r="U83" s="2318"/>
      <c r="V83" s="2318"/>
      <c r="W83" s="2318"/>
      <c r="X83" s="2318"/>
      <c r="Y83" s="2318"/>
      <c r="Z83" s="2318"/>
      <c r="AA83" s="2318"/>
      <c r="AB83" s="2318"/>
      <c r="AC83" s="2318"/>
      <c r="AD83" s="2318"/>
      <c r="AE83" s="2318"/>
      <c r="AF83" s="2318"/>
      <c r="AG83" s="2318"/>
      <c r="AH83" s="2318"/>
      <c r="AI83" s="2318"/>
      <c r="AJ83" s="2318"/>
      <c r="AK83" s="2318"/>
      <c r="AL83" s="1299"/>
      <c r="AM83" s="163"/>
      <c r="AN83" s="439"/>
    </row>
    <row r="84" spans="1:42" s="46" customFormat="1" ht="12.75" customHeight="1">
      <c r="A84" s="163"/>
      <c r="B84" s="2318"/>
      <c r="C84" s="2318"/>
      <c r="D84" s="2318"/>
      <c r="E84" s="2318"/>
      <c r="F84" s="2318"/>
      <c r="G84" s="2318"/>
      <c r="H84" s="2318"/>
      <c r="I84" s="2318"/>
      <c r="J84" s="2318"/>
      <c r="K84" s="2318"/>
      <c r="L84" s="2318"/>
      <c r="M84" s="2318"/>
      <c r="N84" s="2318"/>
      <c r="O84" s="2318"/>
      <c r="P84" s="2318"/>
      <c r="Q84" s="2318"/>
      <c r="R84" s="2318"/>
      <c r="S84" s="2318"/>
      <c r="T84" s="2318"/>
      <c r="U84" s="2318"/>
      <c r="V84" s="2318"/>
      <c r="W84" s="2318"/>
      <c r="X84" s="2318"/>
      <c r="Y84" s="2318"/>
      <c r="Z84" s="2318"/>
      <c r="AA84" s="2318"/>
      <c r="AB84" s="2318"/>
      <c r="AC84" s="2318"/>
      <c r="AD84" s="2318"/>
      <c r="AE84" s="2318"/>
      <c r="AF84" s="2318"/>
      <c r="AG84" s="2318"/>
      <c r="AH84" s="2318"/>
      <c r="AI84" s="2318"/>
      <c r="AJ84" s="2318"/>
      <c r="AK84" s="2318"/>
      <c r="AL84" s="1299"/>
      <c r="AM84" s="163"/>
      <c r="AN84" s="439"/>
    </row>
    <row r="85" spans="1:42" s="46" customFormat="1" ht="12.75" customHeight="1">
      <c r="A85" s="163"/>
      <c r="B85" s="2318"/>
      <c r="C85" s="2318"/>
      <c r="D85" s="2318"/>
      <c r="E85" s="2318"/>
      <c r="F85" s="2318"/>
      <c r="G85" s="2318"/>
      <c r="H85" s="2318"/>
      <c r="I85" s="2318"/>
      <c r="J85" s="2318"/>
      <c r="K85" s="2318"/>
      <c r="L85" s="2318"/>
      <c r="M85" s="2318"/>
      <c r="N85" s="2318"/>
      <c r="O85" s="2318"/>
      <c r="P85" s="2318"/>
      <c r="Q85" s="2318"/>
      <c r="R85" s="2318"/>
      <c r="S85" s="2318"/>
      <c r="T85" s="2318"/>
      <c r="U85" s="2318"/>
      <c r="V85" s="2318"/>
      <c r="W85" s="2318"/>
      <c r="X85" s="2318"/>
      <c r="Y85" s="2318"/>
      <c r="Z85" s="2318"/>
      <c r="AA85" s="2318"/>
      <c r="AB85" s="2318"/>
      <c r="AC85" s="2318"/>
      <c r="AD85" s="2318"/>
      <c r="AE85" s="2318"/>
      <c r="AF85" s="2318"/>
      <c r="AG85" s="2318"/>
      <c r="AH85" s="2318"/>
      <c r="AI85" s="2318"/>
      <c r="AJ85" s="2318"/>
      <c r="AK85" s="2318"/>
      <c r="AL85" s="1299"/>
      <c r="AM85" s="163"/>
      <c r="AN85" s="439"/>
    </row>
    <row r="86" spans="1:42" ht="12.75" customHeight="1">
      <c r="A86" s="163"/>
      <c r="B86" s="2318"/>
      <c r="C86" s="2318"/>
      <c r="D86" s="2318"/>
      <c r="E86" s="2318"/>
      <c r="F86" s="2318"/>
      <c r="G86" s="2318"/>
      <c r="H86" s="2318"/>
      <c r="I86" s="2318"/>
      <c r="J86" s="2318"/>
      <c r="K86" s="2318"/>
      <c r="L86" s="2318"/>
      <c r="M86" s="2318"/>
      <c r="N86" s="2318"/>
      <c r="O86" s="2318"/>
      <c r="P86" s="2318"/>
      <c r="Q86" s="2318"/>
      <c r="R86" s="2318"/>
      <c r="S86" s="2318"/>
      <c r="T86" s="2318"/>
      <c r="U86" s="2318"/>
      <c r="V86" s="2318"/>
      <c r="W86" s="2318"/>
      <c r="X86" s="2318"/>
      <c r="Y86" s="2318"/>
      <c r="Z86" s="2318"/>
      <c r="AA86" s="2318"/>
      <c r="AB86" s="2318"/>
      <c r="AC86" s="2318"/>
      <c r="AD86" s="2318"/>
      <c r="AE86" s="2318"/>
      <c r="AF86" s="2318"/>
      <c r="AG86" s="2318"/>
      <c r="AH86" s="2318"/>
      <c r="AI86" s="2318"/>
      <c r="AJ86" s="2318"/>
      <c r="AK86" s="2318"/>
      <c r="AL86" s="1299"/>
      <c r="AM86" s="163"/>
    </row>
    <row r="87" spans="1:42" s="46" customFormat="1" ht="12.75" customHeight="1">
      <c r="A87" s="28"/>
      <c r="B87" s="2318"/>
      <c r="C87" s="2318"/>
      <c r="D87" s="2318"/>
      <c r="E87" s="2318"/>
      <c r="F87" s="2318"/>
      <c r="G87" s="2318"/>
      <c r="H87" s="2318"/>
      <c r="I87" s="2318"/>
      <c r="J87" s="2318"/>
      <c r="K87" s="2318"/>
      <c r="L87" s="2318"/>
      <c r="M87" s="2318"/>
      <c r="N87" s="2318"/>
      <c r="O87" s="2318"/>
      <c r="P87" s="2318"/>
      <c r="Q87" s="2318"/>
      <c r="R87" s="2318"/>
      <c r="S87" s="2318"/>
      <c r="T87" s="2318"/>
      <c r="U87" s="2318"/>
      <c r="V87" s="2318"/>
      <c r="W87" s="2318"/>
      <c r="X87" s="2318"/>
      <c r="Y87" s="2318"/>
      <c r="Z87" s="2318"/>
      <c r="AA87" s="2318"/>
      <c r="AB87" s="2318"/>
      <c r="AC87" s="2318"/>
      <c r="AD87" s="2318"/>
      <c r="AE87" s="2318"/>
      <c r="AF87" s="2318"/>
      <c r="AG87" s="2318"/>
      <c r="AH87" s="2318"/>
      <c r="AI87" s="2318"/>
      <c r="AJ87" s="2318"/>
      <c r="AK87" s="2318"/>
      <c r="AL87" s="1299"/>
      <c r="AM87" s="153"/>
      <c r="AN87" s="439"/>
    </row>
    <row r="88" spans="1:42" s="46" customFormat="1" ht="12.75" customHeight="1">
      <c r="A88" s="28"/>
      <c r="B88" s="2318"/>
      <c r="C88" s="2318"/>
      <c r="D88" s="2318"/>
      <c r="E88" s="2318"/>
      <c r="F88" s="2318"/>
      <c r="G88" s="2318"/>
      <c r="H88" s="2318"/>
      <c r="I88" s="2318"/>
      <c r="J88" s="2318"/>
      <c r="K88" s="2318"/>
      <c r="L88" s="2318"/>
      <c r="M88" s="2318"/>
      <c r="N88" s="2318"/>
      <c r="O88" s="2318"/>
      <c r="P88" s="2318"/>
      <c r="Q88" s="2318"/>
      <c r="R88" s="2318"/>
      <c r="S88" s="2318"/>
      <c r="T88" s="2318"/>
      <c r="U88" s="2318"/>
      <c r="V88" s="2318"/>
      <c r="W88" s="2318"/>
      <c r="X88" s="2318"/>
      <c r="Y88" s="2318"/>
      <c r="Z88" s="2318"/>
      <c r="AA88" s="2318"/>
      <c r="AB88" s="2318"/>
      <c r="AC88" s="2318"/>
      <c r="AD88" s="2318"/>
      <c r="AE88" s="2318"/>
      <c r="AF88" s="2318"/>
      <c r="AG88" s="2318"/>
      <c r="AH88" s="2318"/>
      <c r="AI88" s="2318"/>
      <c r="AJ88" s="2318"/>
      <c r="AK88" s="2318"/>
      <c r="AL88" s="1299"/>
      <c r="AM88" s="153"/>
      <c r="AN88" s="439"/>
    </row>
    <row r="89" spans="1:42" s="46" customFormat="1" ht="14.4" customHeight="1">
      <c r="A89" s="28"/>
      <c r="B89" s="2318"/>
      <c r="C89" s="2318"/>
      <c r="D89" s="2318"/>
      <c r="E89" s="2318"/>
      <c r="F89" s="2318"/>
      <c r="G89" s="2318"/>
      <c r="H89" s="2318"/>
      <c r="I89" s="2318"/>
      <c r="J89" s="2318"/>
      <c r="K89" s="2318"/>
      <c r="L89" s="2318"/>
      <c r="M89" s="2318"/>
      <c r="N89" s="2318"/>
      <c r="O89" s="2318"/>
      <c r="P89" s="2318"/>
      <c r="Q89" s="2318"/>
      <c r="R89" s="2318"/>
      <c r="S89" s="2318"/>
      <c r="T89" s="2318"/>
      <c r="U89" s="2318"/>
      <c r="V89" s="2318"/>
      <c r="W89" s="2318"/>
      <c r="X89" s="2318"/>
      <c r="Y89" s="2318"/>
      <c r="Z89" s="2318"/>
      <c r="AA89" s="2318"/>
      <c r="AB89" s="2318"/>
      <c r="AC89" s="2318"/>
      <c r="AD89" s="2318"/>
      <c r="AE89" s="2318"/>
      <c r="AF89" s="2318"/>
      <c r="AG89" s="2318"/>
      <c r="AH89" s="2318"/>
      <c r="AI89" s="2318"/>
      <c r="AJ89" s="2318"/>
      <c r="AK89" s="2318"/>
      <c r="AL89" s="1299"/>
      <c r="AM89" s="153"/>
      <c r="AN89" s="439"/>
    </row>
    <row r="90" spans="1:42" s="46" customFormat="1" ht="12.75" customHeight="1">
      <c r="A90" s="28"/>
      <c r="B90" s="2318"/>
      <c r="C90" s="2318"/>
      <c r="D90" s="2318"/>
      <c r="E90" s="2318"/>
      <c r="F90" s="2318"/>
      <c r="G90" s="2318"/>
      <c r="H90" s="2318"/>
      <c r="I90" s="2318"/>
      <c r="J90" s="2318"/>
      <c r="K90" s="2318"/>
      <c r="L90" s="2318"/>
      <c r="M90" s="2318"/>
      <c r="N90" s="2318"/>
      <c r="O90" s="2318"/>
      <c r="P90" s="2318"/>
      <c r="Q90" s="2318"/>
      <c r="R90" s="2318"/>
      <c r="S90" s="2318"/>
      <c r="T90" s="2318"/>
      <c r="U90" s="2318"/>
      <c r="V90" s="2318"/>
      <c r="W90" s="2318"/>
      <c r="X90" s="2318"/>
      <c r="Y90" s="2318"/>
      <c r="Z90" s="2318"/>
      <c r="AA90" s="2318"/>
      <c r="AB90" s="2318"/>
      <c r="AC90" s="2318"/>
      <c r="AD90" s="2318"/>
      <c r="AE90" s="2318"/>
      <c r="AF90" s="2318"/>
      <c r="AG90" s="2318"/>
      <c r="AH90" s="2318"/>
      <c r="AI90" s="2318"/>
      <c r="AJ90" s="2318"/>
      <c r="AK90" s="2318"/>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4" t="s">
        <v>937</v>
      </c>
      <c r="AG95" s="2364"/>
      <c r="AH95" s="2364"/>
      <c r="AI95" s="2364"/>
      <c r="AJ95" s="2364"/>
      <c r="AK95" s="2364"/>
      <c r="AL95" s="2364"/>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4" t="s">
        <v>63</v>
      </c>
      <c r="AG100" s="2364"/>
      <c r="AH100" s="2364"/>
      <c r="AI100" s="2364"/>
      <c r="AJ100" s="2364"/>
      <c r="AK100" s="2364"/>
      <c r="AL100" s="2364"/>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4" t="s">
        <v>64</v>
      </c>
      <c r="AG105" s="2364"/>
      <c r="AH105" s="2364"/>
      <c r="AI105" s="2364"/>
      <c r="AJ105" s="2364"/>
      <c r="AK105" s="2364"/>
      <c r="AL105" s="2364"/>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4" t="s">
        <v>65</v>
      </c>
      <c r="AG110" s="2364"/>
      <c r="AH110" s="2364"/>
      <c r="AI110" s="2364"/>
      <c r="AJ110" s="2364"/>
      <c r="AK110" s="2364"/>
      <c r="AL110" s="2364"/>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4" t="s">
        <v>66</v>
      </c>
      <c r="AG114" s="2364"/>
      <c r="AH114" s="2364"/>
      <c r="AI114" s="2364"/>
      <c r="AJ114" s="2364"/>
      <c r="AK114" s="2364"/>
      <c r="AL114" s="2364"/>
      <c r="AM114" s="153"/>
      <c r="AN114" s="1136"/>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3" t="s">
        <v>641</v>
      </c>
      <c r="I117" s="2373"/>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6" t="s">
        <v>136</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757" t="s">
        <v>136</v>
      </c>
      <c r="C125" s="1757"/>
      <c r="D125" s="436"/>
      <c r="E125" s="2318" t="s">
        <v>2004</v>
      </c>
      <c r="F125" s="2318"/>
      <c r="G125" s="2318"/>
      <c r="H125" s="2318"/>
      <c r="I125" s="2318"/>
      <c r="J125" s="2318"/>
      <c r="K125" s="2318"/>
      <c r="L125" s="2318"/>
      <c r="M125" s="2318"/>
      <c r="N125" s="2318"/>
      <c r="O125" s="2318"/>
      <c r="P125" s="2318"/>
      <c r="Q125" s="2318"/>
      <c r="R125" s="2318"/>
      <c r="S125" s="2318"/>
      <c r="T125" s="2318"/>
      <c r="U125" s="2318"/>
      <c r="V125" s="2318"/>
      <c r="W125" s="2318"/>
      <c r="X125" s="2318"/>
      <c r="Y125" s="2318"/>
      <c r="Z125" s="2318"/>
      <c r="AA125" s="2318"/>
      <c r="AB125" s="2318"/>
      <c r="AC125" s="2318"/>
      <c r="AD125" s="2318"/>
      <c r="AE125" s="2318"/>
      <c r="AF125" s="2318"/>
      <c r="AG125" s="2318"/>
      <c r="AH125" s="436"/>
      <c r="AI125" s="436"/>
      <c r="AJ125" s="436"/>
      <c r="AK125" s="436"/>
      <c r="AL125" s="1296"/>
      <c r="AN125" s="439"/>
    </row>
    <row r="126" spans="1:47" s="46" customFormat="1" ht="12.75" customHeight="1">
      <c r="A126" s="28"/>
      <c r="B126" s="161"/>
      <c r="C126" s="187"/>
      <c r="D126" s="436"/>
      <c r="E126" s="2318"/>
      <c r="F126" s="2318"/>
      <c r="G126" s="2318"/>
      <c r="H126" s="2318"/>
      <c r="I126" s="2318"/>
      <c r="J126" s="2318"/>
      <c r="K126" s="2318"/>
      <c r="L126" s="2318"/>
      <c r="M126" s="2318"/>
      <c r="N126" s="2318"/>
      <c r="O126" s="2318"/>
      <c r="P126" s="2318"/>
      <c r="Q126" s="2318"/>
      <c r="R126" s="2318"/>
      <c r="S126" s="2318"/>
      <c r="T126" s="2318"/>
      <c r="U126" s="2318"/>
      <c r="V126" s="2318"/>
      <c r="W126" s="2318"/>
      <c r="X126" s="2318"/>
      <c r="Y126" s="2318"/>
      <c r="Z126" s="2318"/>
      <c r="AA126" s="2318"/>
      <c r="AB126" s="2318"/>
      <c r="AC126" s="2318"/>
      <c r="AD126" s="2318"/>
      <c r="AE126" s="2318"/>
      <c r="AF126" s="2318"/>
      <c r="AG126" s="2318"/>
      <c r="AH126" s="436"/>
      <c r="AI126" s="436"/>
      <c r="AJ126" s="436"/>
      <c r="AK126" s="436"/>
      <c r="AL126" s="1296"/>
      <c r="AN126" s="439"/>
    </row>
    <row r="127" spans="1:47" s="46" customFormat="1" ht="12.75" customHeight="1">
      <c r="A127" s="28"/>
      <c r="B127" s="161"/>
      <c r="C127" s="187"/>
      <c r="D127" s="436"/>
      <c r="E127" s="2318"/>
      <c r="F127" s="2318"/>
      <c r="G127" s="2318"/>
      <c r="H127" s="2318"/>
      <c r="I127" s="2318"/>
      <c r="J127" s="2318"/>
      <c r="K127" s="2318"/>
      <c r="L127" s="2318"/>
      <c r="M127" s="2318"/>
      <c r="N127" s="2318"/>
      <c r="O127" s="2318"/>
      <c r="P127" s="2318"/>
      <c r="Q127" s="2318"/>
      <c r="R127" s="2318"/>
      <c r="S127" s="2318"/>
      <c r="T127" s="2318"/>
      <c r="U127" s="2318"/>
      <c r="V127" s="2318"/>
      <c r="W127" s="2318"/>
      <c r="X127" s="2318"/>
      <c r="Y127" s="2318"/>
      <c r="Z127" s="2318"/>
      <c r="AA127" s="2318"/>
      <c r="AB127" s="2318"/>
      <c r="AC127" s="2318"/>
      <c r="AD127" s="2318"/>
      <c r="AE127" s="2318"/>
      <c r="AF127" s="2318"/>
      <c r="AG127" s="2318"/>
      <c r="AH127" s="436"/>
      <c r="AI127" s="436"/>
      <c r="AJ127" s="436"/>
      <c r="AK127" s="436"/>
      <c r="AL127" s="1296"/>
      <c r="AN127" s="439"/>
    </row>
    <row r="128" spans="1:47" s="46" customFormat="1" ht="12.75" customHeight="1">
      <c r="A128" s="28"/>
      <c r="B128" s="161"/>
      <c r="C128" s="187"/>
      <c r="D128" s="478"/>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59">
        <f>VLOOKUP($H$117,$AO$101:$AP$106,2,FALSE)+VLOOKUP($H$123,$AO$121:$AP$123,2,FALSE)</f>
        <v>7</v>
      </c>
      <c r="AK129" s="236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4" t="s">
        <v>2089</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64" t="s">
        <v>66</v>
      </c>
      <c r="AG133" s="2364"/>
      <c r="AH133" s="2364"/>
      <c r="AI133" s="2364"/>
      <c r="AJ133" s="2364"/>
      <c r="AK133" s="2364"/>
      <c r="AL133" s="2364"/>
      <c r="AM133" s="153"/>
      <c r="AN133" s="475"/>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2.95"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472" t="s">
        <v>136</v>
      </c>
      <c r="T138" s="2472"/>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4" t="s">
        <v>114</v>
      </c>
      <c r="AG140" s="2364"/>
      <c r="AH140" s="2364"/>
      <c r="AI140" s="2364"/>
      <c r="AJ140" s="2364"/>
      <c r="AK140" s="2364"/>
      <c r="AL140" s="236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798</v>
      </c>
      <c r="AP141" s="206">
        <v>4</v>
      </c>
    </row>
    <row r="142" spans="1:42" s="46" customFormat="1" ht="12.75" customHeight="1">
      <c r="A142" s="28"/>
      <c r="B142" s="74"/>
      <c r="C142" s="77"/>
      <c r="D142" s="28" t="s">
        <v>163</v>
      </c>
      <c r="E142" s="190"/>
      <c r="F142" s="190"/>
      <c r="G142" s="190"/>
      <c r="H142" s="2373" t="s">
        <v>641</v>
      </c>
      <c r="I142" s="2373"/>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9">
        <f>VLOOKUP($H$142,$AO$116:$AP$118,2,FALSE)</f>
        <v>3</v>
      </c>
      <c r="AK144" s="236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4" t="s">
        <v>66</v>
      </c>
      <c r="AG148" s="2364"/>
      <c r="AH148" s="2364"/>
      <c r="AI148" s="2364"/>
      <c r="AJ148" s="2364"/>
      <c r="AK148" s="2364"/>
      <c r="AL148" s="236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4" t="s">
        <v>114</v>
      </c>
      <c r="AG151" s="2364"/>
      <c r="AH151" s="2364"/>
      <c r="AI151" s="2364"/>
      <c r="AJ151" s="2364"/>
      <c r="AK151" s="2364"/>
      <c r="AL151" s="2364"/>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373" t="s">
        <v>214</v>
      </c>
      <c r="I154" s="237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9">
        <f>VLOOKUP(H154,AT116:AU118,2,FALSE)</f>
        <v>2</v>
      </c>
      <c r="AK156" s="2360"/>
      <c r="AL156" s="25"/>
      <c r="AN156" s="1136"/>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18" t="s">
        <v>817</v>
      </c>
      <c r="F161" s="2318"/>
      <c r="G161" s="2318"/>
      <c r="H161" s="2318"/>
      <c r="I161" s="2318"/>
      <c r="J161" s="2318"/>
      <c r="K161" s="2318"/>
      <c r="L161" s="2318"/>
      <c r="M161" s="2318"/>
      <c r="N161" s="2318"/>
      <c r="O161" s="2318"/>
      <c r="P161" s="2318"/>
      <c r="Q161" s="2318"/>
      <c r="R161" s="2318"/>
      <c r="S161" s="2318"/>
      <c r="T161" s="2318"/>
      <c r="U161" s="2318"/>
      <c r="V161" s="2318"/>
      <c r="W161" s="2318"/>
      <c r="X161" s="2318"/>
      <c r="Y161" s="2318"/>
      <c r="Z161" s="2318"/>
      <c r="AA161" s="2318"/>
      <c r="AB161" s="2318"/>
      <c r="AC161" s="2318"/>
      <c r="AF161" s="2364" t="s">
        <v>64</v>
      </c>
      <c r="AG161" s="2364"/>
      <c r="AH161" s="2364"/>
      <c r="AI161" s="2364"/>
      <c r="AJ161" s="2364"/>
      <c r="AK161" s="2364"/>
      <c r="AL161" s="2364"/>
      <c r="AN161" s="439"/>
    </row>
    <row r="162" spans="1:42" s="46" customFormat="1" ht="12.75" customHeight="1">
      <c r="C162" s="48"/>
      <c r="E162" s="2318"/>
      <c r="F162" s="2318"/>
      <c r="G162" s="2318"/>
      <c r="H162" s="2318"/>
      <c r="I162" s="2318"/>
      <c r="J162" s="2318"/>
      <c r="K162" s="2318"/>
      <c r="L162" s="2318"/>
      <c r="M162" s="2318"/>
      <c r="N162" s="2318"/>
      <c r="O162" s="2318"/>
      <c r="P162" s="2318"/>
      <c r="Q162" s="2318"/>
      <c r="R162" s="2318"/>
      <c r="S162" s="2318"/>
      <c r="T162" s="2318"/>
      <c r="U162" s="2318"/>
      <c r="V162" s="2318"/>
      <c r="W162" s="2318"/>
      <c r="X162" s="2318"/>
      <c r="Y162" s="2318"/>
      <c r="Z162" s="2318"/>
      <c r="AA162" s="2318"/>
      <c r="AB162" s="2318"/>
      <c r="AC162" s="2318"/>
      <c r="AN162" s="439"/>
    </row>
    <row r="163" spans="1:42" s="46" customFormat="1" ht="12.75" customHeight="1">
      <c r="C163" s="48"/>
      <c r="D163" s="144"/>
      <c r="E163" s="2318"/>
      <c r="F163" s="2318"/>
      <c r="G163" s="2318"/>
      <c r="H163" s="2318"/>
      <c r="I163" s="2318"/>
      <c r="J163" s="2318"/>
      <c r="K163" s="2318"/>
      <c r="L163" s="2318"/>
      <c r="M163" s="2318"/>
      <c r="N163" s="2318"/>
      <c r="O163" s="2318"/>
      <c r="P163" s="2318"/>
      <c r="Q163" s="2318"/>
      <c r="R163" s="2318"/>
      <c r="S163" s="2318"/>
      <c r="T163" s="2318"/>
      <c r="U163" s="2318"/>
      <c r="V163" s="2318"/>
      <c r="W163" s="2318"/>
      <c r="X163" s="2318"/>
      <c r="Y163" s="2318"/>
      <c r="Z163" s="2318"/>
      <c r="AA163" s="2318"/>
      <c r="AB163" s="2318"/>
      <c r="AC163" s="231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18" t="s">
        <v>1934</v>
      </c>
      <c r="F165" s="2318"/>
      <c r="G165" s="2318"/>
      <c r="H165" s="2318"/>
      <c r="I165" s="2318"/>
      <c r="J165" s="2318"/>
      <c r="K165" s="2318"/>
      <c r="L165" s="2318"/>
      <c r="M165" s="2318"/>
      <c r="N165" s="2318"/>
      <c r="O165" s="2318"/>
      <c r="P165" s="2318"/>
      <c r="Q165" s="2318"/>
      <c r="R165" s="2318"/>
      <c r="S165" s="2318"/>
      <c r="T165" s="2318"/>
      <c r="U165" s="2318"/>
      <c r="V165" s="2318"/>
      <c r="W165" s="2318"/>
      <c r="X165" s="2318"/>
      <c r="Y165" s="2318"/>
      <c r="Z165" s="2318"/>
      <c r="AA165" s="2318"/>
      <c r="AB165" s="2318"/>
      <c r="AC165" s="2318"/>
      <c r="AF165" s="2364" t="s">
        <v>65</v>
      </c>
      <c r="AG165" s="2364"/>
      <c r="AH165" s="2364"/>
      <c r="AI165" s="2364"/>
      <c r="AJ165" s="2364"/>
      <c r="AK165" s="2364"/>
      <c r="AL165" s="2364"/>
      <c r="AN165" s="439"/>
    </row>
    <row r="166" spans="1:42" s="46" customFormat="1" ht="12.75" customHeight="1">
      <c r="C166" s="48"/>
      <c r="E166" s="2318"/>
      <c r="F166" s="2318"/>
      <c r="G166" s="2318"/>
      <c r="H166" s="2318"/>
      <c r="I166" s="2318"/>
      <c r="J166" s="2318"/>
      <c r="K166" s="2318"/>
      <c r="L166" s="2318"/>
      <c r="M166" s="2318"/>
      <c r="N166" s="2318"/>
      <c r="O166" s="2318"/>
      <c r="P166" s="2318"/>
      <c r="Q166" s="2318"/>
      <c r="R166" s="2318"/>
      <c r="S166" s="2318"/>
      <c r="T166" s="2318"/>
      <c r="U166" s="2318"/>
      <c r="V166" s="2318"/>
      <c r="W166" s="2318"/>
      <c r="X166" s="2318"/>
      <c r="Y166" s="2318"/>
      <c r="Z166" s="2318"/>
      <c r="AA166" s="2318"/>
      <c r="AB166" s="2318"/>
      <c r="AC166" s="2318"/>
      <c r="AN166" s="439"/>
    </row>
    <row r="167" spans="1:42" s="46" customFormat="1" ht="15" customHeight="1">
      <c r="C167" s="48"/>
      <c r="D167" s="144"/>
      <c r="E167" s="2318"/>
      <c r="F167" s="2318"/>
      <c r="G167" s="2318"/>
      <c r="H167" s="2318"/>
      <c r="I167" s="2318"/>
      <c r="J167" s="2318"/>
      <c r="K167" s="2318"/>
      <c r="L167" s="2318"/>
      <c r="M167" s="2318"/>
      <c r="N167" s="2318"/>
      <c r="O167" s="2318"/>
      <c r="P167" s="2318"/>
      <c r="Q167" s="2318"/>
      <c r="R167" s="2318"/>
      <c r="S167" s="2318"/>
      <c r="T167" s="2318"/>
      <c r="U167" s="2318"/>
      <c r="V167" s="2318"/>
      <c r="W167" s="2318"/>
      <c r="X167" s="2318"/>
      <c r="Y167" s="2318"/>
      <c r="Z167" s="2318"/>
      <c r="AA167" s="2318"/>
      <c r="AB167" s="2318"/>
      <c r="AC167" s="231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992</v>
      </c>
      <c r="E169" s="2318" t="s">
        <v>1935</v>
      </c>
      <c r="F169" s="2318"/>
      <c r="G169" s="2318"/>
      <c r="H169" s="2318"/>
      <c r="I169" s="2318"/>
      <c r="J169" s="2318"/>
      <c r="K169" s="2318"/>
      <c r="L169" s="2318"/>
      <c r="M169" s="2318"/>
      <c r="N169" s="2318"/>
      <c r="O169" s="2318"/>
      <c r="P169" s="2318"/>
      <c r="Q169" s="2318"/>
      <c r="R169" s="2318"/>
      <c r="S169" s="2318"/>
      <c r="T169" s="2318"/>
      <c r="U169" s="2318"/>
      <c r="V169" s="2318"/>
      <c r="W169" s="2318"/>
      <c r="X169" s="2318"/>
      <c r="Y169" s="2318"/>
      <c r="Z169" s="2318"/>
      <c r="AA169" s="2318"/>
      <c r="AB169" s="2318"/>
      <c r="AC169" s="2318"/>
      <c r="AF169" s="2364" t="s">
        <v>66</v>
      </c>
      <c r="AG169" s="2364"/>
      <c r="AH169" s="2364"/>
      <c r="AI169" s="2364"/>
      <c r="AJ169" s="2364"/>
      <c r="AK169" s="2364"/>
      <c r="AL169" s="2364"/>
      <c r="AN169" s="439"/>
    </row>
    <row r="170" spans="1:42" s="46" customFormat="1" ht="12.75" customHeight="1">
      <c r="A170" s="28"/>
      <c r="B170" s="161"/>
      <c r="C170" s="188"/>
      <c r="E170" s="2318"/>
      <c r="F170" s="2318"/>
      <c r="G170" s="2318"/>
      <c r="H170" s="2318"/>
      <c r="I170" s="2318"/>
      <c r="J170" s="2318"/>
      <c r="K170" s="2318"/>
      <c r="L170" s="2318"/>
      <c r="M170" s="2318"/>
      <c r="N170" s="2318"/>
      <c r="O170" s="2318"/>
      <c r="P170" s="2318"/>
      <c r="Q170" s="2318"/>
      <c r="R170" s="2318"/>
      <c r="S170" s="2318"/>
      <c r="T170" s="2318"/>
      <c r="U170" s="2318"/>
      <c r="V170" s="2318"/>
      <c r="W170" s="2318"/>
      <c r="X170" s="2318"/>
      <c r="Y170" s="2318"/>
      <c r="Z170" s="2318"/>
      <c r="AA170" s="2318"/>
      <c r="AB170" s="2318"/>
      <c r="AC170" s="2318"/>
      <c r="AE170" s="2364"/>
      <c r="AF170" s="2364"/>
      <c r="AG170" s="2364"/>
      <c r="AH170" s="2364"/>
      <c r="AI170" s="2364"/>
      <c r="AJ170" s="2364"/>
      <c r="AK170" s="2364"/>
      <c r="AL170" s="1300"/>
      <c r="AM170" s="153"/>
      <c r="AN170" s="439"/>
      <c r="AO170" s="46" t="s">
        <v>136</v>
      </c>
      <c r="AP170" s="753">
        <v>0</v>
      </c>
    </row>
    <row r="171" spans="1:42" s="46" customFormat="1" ht="12.75" customHeight="1">
      <c r="A171" s="195"/>
      <c r="D171" s="144"/>
      <c r="E171" s="2318"/>
      <c r="F171" s="2318"/>
      <c r="G171" s="2318"/>
      <c r="H171" s="2318"/>
      <c r="I171" s="2318"/>
      <c r="J171" s="2318"/>
      <c r="K171" s="2318"/>
      <c r="L171" s="2318"/>
      <c r="M171" s="2318"/>
      <c r="N171" s="2318"/>
      <c r="O171" s="2318"/>
      <c r="P171" s="2318"/>
      <c r="Q171" s="2318"/>
      <c r="R171" s="2318"/>
      <c r="S171" s="2318"/>
      <c r="T171" s="2318"/>
      <c r="U171" s="2318"/>
      <c r="V171" s="2318"/>
      <c r="W171" s="2318"/>
      <c r="X171" s="2318"/>
      <c r="Y171" s="2318"/>
      <c r="Z171" s="2318"/>
      <c r="AA171" s="2318"/>
      <c r="AB171" s="2318"/>
      <c r="AC171" s="231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18" t="s">
        <v>1936</v>
      </c>
      <c r="F173" s="2318"/>
      <c r="G173" s="2318"/>
      <c r="H173" s="2318"/>
      <c r="I173" s="2318"/>
      <c r="J173" s="2318"/>
      <c r="K173" s="2318"/>
      <c r="L173" s="2318"/>
      <c r="M173" s="2318"/>
      <c r="N173" s="2318"/>
      <c r="O173" s="2318"/>
      <c r="P173" s="2318"/>
      <c r="Q173" s="2318"/>
      <c r="R173" s="2318"/>
      <c r="S173" s="2318"/>
      <c r="T173" s="2318"/>
      <c r="U173" s="2318"/>
      <c r="V173" s="2318"/>
      <c r="W173" s="2318"/>
      <c r="X173" s="2318"/>
      <c r="Y173" s="2318"/>
      <c r="Z173" s="2318"/>
      <c r="AA173" s="2318"/>
      <c r="AB173" s="2318"/>
      <c r="AC173" s="2318"/>
      <c r="AF173" s="2364" t="s">
        <v>65</v>
      </c>
      <c r="AG173" s="2364"/>
      <c r="AH173" s="2364"/>
      <c r="AI173" s="2364"/>
      <c r="AJ173" s="2364"/>
      <c r="AK173" s="2364"/>
      <c r="AL173" s="2364"/>
      <c r="AN173" s="439"/>
    </row>
    <row r="174" spans="1:42" s="46" customFormat="1" ht="12.75" customHeight="1">
      <c r="A174" s="183"/>
      <c r="B174" s="161"/>
      <c r="C174" s="202"/>
      <c r="D174" s="144"/>
      <c r="E174" s="2318"/>
      <c r="F174" s="2318"/>
      <c r="G174" s="2318"/>
      <c r="H174" s="2318"/>
      <c r="I174" s="2318"/>
      <c r="J174" s="2318"/>
      <c r="K174" s="2318"/>
      <c r="L174" s="2318"/>
      <c r="M174" s="2318"/>
      <c r="N174" s="2318"/>
      <c r="O174" s="2318"/>
      <c r="P174" s="2318"/>
      <c r="Q174" s="2318"/>
      <c r="R174" s="2318"/>
      <c r="S174" s="2318"/>
      <c r="T174" s="2318"/>
      <c r="U174" s="2318"/>
      <c r="V174" s="2318"/>
      <c r="W174" s="2318"/>
      <c r="X174" s="2318"/>
      <c r="Y174" s="2318"/>
      <c r="Z174" s="2318"/>
      <c r="AA174" s="2318"/>
      <c r="AB174" s="2318"/>
      <c r="AC174" s="2318"/>
      <c r="AE174" s="179"/>
      <c r="AF174" s="179"/>
      <c r="AG174" s="179"/>
      <c r="AH174" s="179"/>
      <c r="AI174" s="179"/>
      <c r="AJ174" s="179"/>
      <c r="AK174" s="179"/>
      <c r="AL174" s="1300"/>
      <c r="AM174" s="203"/>
      <c r="AN174" s="439"/>
    </row>
    <row r="175" spans="1:42" s="46" customFormat="1" ht="12.75" customHeight="1">
      <c r="A175" s="183"/>
      <c r="B175" s="161"/>
      <c r="C175" s="202"/>
      <c r="D175" s="144"/>
      <c r="E175" s="2318"/>
      <c r="F175" s="2318"/>
      <c r="G175" s="2318"/>
      <c r="H175" s="2318"/>
      <c r="I175" s="2318"/>
      <c r="J175" s="2318"/>
      <c r="K175" s="2318"/>
      <c r="L175" s="2318"/>
      <c r="M175" s="2318"/>
      <c r="N175" s="2318"/>
      <c r="O175" s="2318"/>
      <c r="P175" s="2318"/>
      <c r="Q175" s="2318"/>
      <c r="R175" s="2318"/>
      <c r="S175" s="2318"/>
      <c r="T175" s="2318"/>
      <c r="U175" s="2318"/>
      <c r="V175" s="2318"/>
      <c r="W175" s="2318"/>
      <c r="X175" s="2318"/>
      <c r="Y175" s="2318"/>
      <c r="Z175" s="2318"/>
      <c r="AA175" s="2318"/>
      <c r="AB175" s="2318"/>
      <c r="AC175" s="2318"/>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799</v>
      </c>
      <c r="E177" s="2318" t="s">
        <v>1937</v>
      </c>
      <c r="F177" s="2318"/>
      <c r="G177" s="2318"/>
      <c r="H177" s="2318"/>
      <c r="I177" s="2318"/>
      <c r="J177" s="2318"/>
      <c r="K177" s="2318"/>
      <c r="L177" s="2318"/>
      <c r="M177" s="2318"/>
      <c r="N177" s="2318"/>
      <c r="O177" s="2318"/>
      <c r="P177" s="2318"/>
      <c r="Q177" s="2318"/>
      <c r="R177" s="2318"/>
      <c r="S177" s="2318"/>
      <c r="T177" s="2318"/>
      <c r="U177" s="2318"/>
      <c r="V177" s="2318"/>
      <c r="W177" s="2318"/>
      <c r="X177" s="2318"/>
      <c r="Y177" s="2318"/>
      <c r="Z177" s="2318"/>
      <c r="AA177" s="2318"/>
      <c r="AB177" s="2318"/>
      <c r="AC177" s="2318"/>
      <c r="AF177" s="2364" t="s">
        <v>66</v>
      </c>
      <c r="AG177" s="2364"/>
      <c r="AH177" s="2364"/>
      <c r="AI177" s="2364"/>
      <c r="AJ177" s="2364"/>
      <c r="AK177" s="2364"/>
      <c r="AL177" s="2364"/>
      <c r="AM177" s="203"/>
      <c r="AN177" s="439"/>
    </row>
    <row r="178" spans="1:42" s="46" customFormat="1" ht="12.75" customHeight="1">
      <c r="A178" s="28"/>
      <c r="B178" s="161"/>
      <c r="C178" s="188"/>
      <c r="D178" s="144"/>
      <c r="E178" s="2318"/>
      <c r="F178" s="2318"/>
      <c r="G178" s="2318"/>
      <c r="H178" s="2318"/>
      <c r="I178" s="2318"/>
      <c r="J178" s="2318"/>
      <c r="K178" s="2318"/>
      <c r="L178" s="2318"/>
      <c r="M178" s="2318"/>
      <c r="N178" s="2318"/>
      <c r="O178" s="2318"/>
      <c r="P178" s="2318"/>
      <c r="Q178" s="2318"/>
      <c r="R178" s="2318"/>
      <c r="S178" s="2318"/>
      <c r="T178" s="2318"/>
      <c r="U178" s="2318"/>
      <c r="V178" s="2318"/>
      <c r="W178" s="2318"/>
      <c r="X178" s="2318"/>
      <c r="Y178" s="2318"/>
      <c r="Z178" s="2318"/>
      <c r="AA178" s="2318"/>
      <c r="AB178" s="2318"/>
      <c r="AC178" s="2318"/>
      <c r="AE178" s="153"/>
      <c r="AF178" s="74"/>
      <c r="AH178" s="153"/>
      <c r="AI178" s="153"/>
      <c r="AJ178" s="153"/>
      <c r="AK178" s="153"/>
      <c r="AL178" s="153"/>
      <c r="AM178" s="203"/>
      <c r="AN178" s="439"/>
    </row>
    <row r="179" spans="1:42" s="46" customFormat="1" ht="12.75" customHeight="1">
      <c r="A179" s="28"/>
      <c r="B179" s="161"/>
      <c r="C179" s="188"/>
      <c r="D179" s="144"/>
      <c r="E179" s="2318"/>
      <c r="F179" s="2318"/>
      <c r="G179" s="2318"/>
      <c r="H179" s="2318"/>
      <c r="I179" s="2318"/>
      <c r="J179" s="2318"/>
      <c r="K179" s="2318"/>
      <c r="L179" s="2318"/>
      <c r="M179" s="2318"/>
      <c r="N179" s="2318"/>
      <c r="O179" s="2318"/>
      <c r="P179" s="2318"/>
      <c r="Q179" s="2318"/>
      <c r="R179" s="2318"/>
      <c r="S179" s="2318"/>
      <c r="T179" s="2318"/>
      <c r="U179" s="2318"/>
      <c r="V179" s="2318"/>
      <c r="W179" s="2318"/>
      <c r="X179" s="2318"/>
      <c r="Y179" s="2318"/>
      <c r="Z179" s="2318"/>
      <c r="AA179" s="2318"/>
      <c r="AB179" s="2318"/>
      <c r="AC179" s="231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18" t="s">
        <v>1653</v>
      </c>
      <c r="F181" s="2318"/>
      <c r="G181" s="2318"/>
      <c r="H181" s="2318"/>
      <c r="I181" s="2318"/>
      <c r="J181" s="2318"/>
      <c r="K181" s="2318"/>
      <c r="L181" s="2318"/>
      <c r="M181" s="2318"/>
      <c r="N181" s="2318"/>
      <c r="O181" s="2318"/>
      <c r="P181" s="2318"/>
      <c r="Q181" s="2318"/>
      <c r="R181" s="2318"/>
      <c r="S181" s="2318"/>
      <c r="T181" s="2318"/>
      <c r="U181" s="2318"/>
      <c r="V181" s="2318"/>
      <c r="W181" s="2318"/>
      <c r="X181" s="2318"/>
      <c r="Y181" s="2318"/>
      <c r="Z181" s="2318"/>
      <c r="AA181" s="2318"/>
      <c r="AB181" s="2318"/>
      <c r="AC181" s="2318"/>
      <c r="AF181" s="2364" t="s">
        <v>114</v>
      </c>
      <c r="AG181" s="2364"/>
      <c r="AH181" s="2364"/>
      <c r="AI181" s="2364"/>
      <c r="AJ181" s="2364"/>
      <c r="AK181" s="2364"/>
      <c r="AL181" s="2364"/>
      <c r="AM181" s="203"/>
      <c r="AN181" s="439"/>
    </row>
    <row r="182" spans="1:42" s="46" customFormat="1" ht="22.95" customHeight="1">
      <c r="A182" s="195"/>
      <c r="B182" s="74"/>
      <c r="C182" s="77"/>
      <c r="D182" s="144"/>
      <c r="E182" s="2318"/>
      <c r="F182" s="2318"/>
      <c r="G182" s="2318"/>
      <c r="H182" s="2318"/>
      <c r="I182" s="2318"/>
      <c r="J182" s="2318"/>
      <c r="K182" s="2318"/>
      <c r="L182" s="2318"/>
      <c r="M182" s="2318"/>
      <c r="N182" s="2318"/>
      <c r="O182" s="2318"/>
      <c r="P182" s="2318"/>
      <c r="Q182" s="2318"/>
      <c r="R182" s="2318"/>
      <c r="S182" s="2318"/>
      <c r="T182" s="2318"/>
      <c r="U182" s="2318"/>
      <c r="V182" s="2318"/>
      <c r="W182" s="2318"/>
      <c r="X182" s="2318"/>
      <c r="Y182" s="2318"/>
      <c r="Z182" s="2318"/>
      <c r="AA182" s="2318"/>
      <c r="AB182" s="2318"/>
      <c r="AC182" s="2318"/>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18" t="s">
        <v>1654</v>
      </c>
      <c r="F184" s="2318"/>
      <c r="G184" s="2318"/>
      <c r="H184" s="2318"/>
      <c r="I184" s="2318"/>
      <c r="J184" s="2318"/>
      <c r="K184" s="2318"/>
      <c r="L184" s="2318"/>
      <c r="M184" s="2318"/>
      <c r="N184" s="2318"/>
      <c r="O184" s="2318"/>
      <c r="P184" s="2318"/>
      <c r="Q184" s="2318"/>
      <c r="R184" s="2318"/>
      <c r="S184" s="2318"/>
      <c r="T184" s="2318"/>
      <c r="U184" s="2318"/>
      <c r="V184" s="2318"/>
      <c r="W184" s="2318"/>
      <c r="X184" s="2318"/>
      <c r="Y184" s="2318"/>
      <c r="Z184" s="2318"/>
      <c r="AA184" s="2318"/>
      <c r="AB184" s="2318"/>
      <c r="AC184" s="2318"/>
      <c r="AF184" s="2364" t="s">
        <v>354</v>
      </c>
      <c r="AG184" s="2364"/>
      <c r="AH184" s="2364"/>
      <c r="AI184" s="2364"/>
      <c r="AJ184" s="2364"/>
      <c r="AK184" s="2364"/>
      <c r="AL184" s="2364"/>
      <c r="AM184" s="203"/>
      <c r="AN184" s="439"/>
      <c r="AO184" s="144" t="s">
        <v>641</v>
      </c>
      <c r="AP184" s="46">
        <v>3</v>
      </c>
    </row>
    <row r="185" spans="1:42" s="46" customFormat="1" ht="22.95" customHeight="1">
      <c r="A185" s="195"/>
      <c r="B185" s="74"/>
      <c r="C185" s="77"/>
      <c r="D185" s="144"/>
      <c r="E185" s="2318"/>
      <c r="F185" s="2318"/>
      <c r="G185" s="2318"/>
      <c r="H185" s="2318"/>
      <c r="I185" s="2318"/>
      <c r="J185" s="2318"/>
      <c r="K185" s="2318"/>
      <c r="L185" s="2318"/>
      <c r="M185" s="2318"/>
      <c r="N185" s="2318"/>
      <c r="O185" s="2318"/>
      <c r="P185" s="2318"/>
      <c r="Q185" s="2318"/>
      <c r="R185" s="2318"/>
      <c r="S185" s="2318"/>
      <c r="T185" s="2318"/>
      <c r="U185" s="2318"/>
      <c r="V185" s="2318"/>
      <c r="W185" s="2318"/>
      <c r="X185" s="2318"/>
      <c r="Y185" s="2318"/>
      <c r="Z185" s="2318"/>
      <c r="AA185" s="2318"/>
      <c r="AB185" s="2318"/>
      <c r="AC185" s="2318"/>
      <c r="AE185" s="179"/>
      <c r="AF185" s="179"/>
      <c r="AG185" s="179"/>
      <c r="AH185" s="179"/>
      <c r="AI185" s="179"/>
      <c r="AJ185" s="179"/>
      <c r="AK185" s="179"/>
      <c r="AL185" s="1300"/>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163</v>
      </c>
      <c r="E187" s="190"/>
      <c r="F187" s="190"/>
      <c r="G187" s="190"/>
      <c r="H187" s="2373" t="s">
        <v>641</v>
      </c>
      <c r="I187" s="237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9">
        <f>VLOOKUP($H$187,$AO$137:$AP$144,2,FALSE)</f>
        <v>5</v>
      </c>
      <c r="AK189" s="236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18" t="s">
        <v>2244</v>
      </c>
      <c r="F193" s="2318"/>
      <c r="G193" s="2318"/>
      <c r="H193" s="2318"/>
      <c r="I193" s="2318"/>
      <c r="J193" s="2318"/>
      <c r="K193" s="2318"/>
      <c r="L193" s="2318"/>
      <c r="M193" s="2318"/>
      <c r="N193" s="2318"/>
      <c r="O193" s="2318"/>
      <c r="P193" s="2318"/>
      <c r="Q193" s="2318"/>
      <c r="R193" s="2318"/>
      <c r="S193" s="2318"/>
      <c r="T193" s="2318"/>
      <c r="U193" s="2318"/>
      <c r="V193" s="2318"/>
      <c r="W193" s="2318"/>
      <c r="X193" s="2318"/>
      <c r="Y193" s="2318"/>
      <c r="Z193" s="2318"/>
      <c r="AA193" s="2318"/>
      <c r="AB193" s="2318"/>
      <c r="AC193" s="46"/>
      <c r="AD193" s="46"/>
      <c r="AF193" s="2364" t="s">
        <v>66</v>
      </c>
      <c r="AG193" s="2364"/>
      <c r="AH193" s="2364"/>
      <c r="AI193" s="2364"/>
      <c r="AJ193" s="2364"/>
      <c r="AK193" s="2364"/>
      <c r="AL193" s="2364"/>
      <c r="AM193" s="153"/>
      <c r="AN193" s="1136"/>
    </row>
    <row r="194" spans="1:42" s="137" customFormat="1" ht="12.75" customHeight="1">
      <c r="A194" s="28"/>
      <c r="B194" s="161"/>
      <c r="C194" s="196"/>
      <c r="D194" s="144"/>
      <c r="E194" s="2318"/>
      <c r="F194" s="2318"/>
      <c r="G194" s="2318"/>
      <c r="H194" s="2318"/>
      <c r="I194" s="2318"/>
      <c r="J194" s="2318"/>
      <c r="K194" s="2318"/>
      <c r="L194" s="2318"/>
      <c r="M194" s="2318"/>
      <c r="N194" s="2318"/>
      <c r="O194" s="2318"/>
      <c r="P194" s="2318"/>
      <c r="Q194" s="2318"/>
      <c r="R194" s="2318"/>
      <c r="S194" s="2318"/>
      <c r="T194" s="2318"/>
      <c r="U194" s="2318"/>
      <c r="V194" s="2318"/>
      <c r="W194" s="2318"/>
      <c r="X194" s="2318"/>
      <c r="Y194" s="2318"/>
      <c r="Z194" s="2318"/>
      <c r="AA194" s="2318"/>
      <c r="AB194" s="2318"/>
      <c r="AC194" s="46"/>
      <c r="AD194" s="46"/>
      <c r="AE194" s="27"/>
      <c r="AM194" s="153"/>
      <c r="AN194" s="1136"/>
      <c r="AO194" s="2369"/>
      <c r="AP194" s="2369"/>
    </row>
    <row r="195" spans="1:42" s="137" customFormat="1" ht="12.75" customHeight="1">
      <c r="A195" s="28"/>
      <c r="B195" s="161"/>
      <c r="C195" s="196"/>
      <c r="D195" s="144"/>
      <c r="E195" s="2318"/>
      <c r="F195" s="2318"/>
      <c r="G195" s="2318"/>
      <c r="H195" s="2318"/>
      <c r="I195" s="2318"/>
      <c r="J195" s="2318"/>
      <c r="K195" s="2318"/>
      <c r="L195" s="2318"/>
      <c r="M195" s="2318"/>
      <c r="N195" s="2318"/>
      <c r="O195" s="2318"/>
      <c r="P195" s="2318"/>
      <c r="Q195" s="2318"/>
      <c r="R195" s="2318"/>
      <c r="S195" s="2318"/>
      <c r="T195" s="2318"/>
      <c r="U195" s="2318"/>
      <c r="V195" s="2318"/>
      <c r="W195" s="2318"/>
      <c r="X195" s="2318"/>
      <c r="Y195" s="2318"/>
      <c r="Z195" s="2318"/>
      <c r="AA195" s="2318"/>
      <c r="AB195" s="2318"/>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18"/>
      <c r="F196" s="2318"/>
      <c r="G196" s="2318"/>
      <c r="H196" s="2318"/>
      <c r="I196" s="2318"/>
      <c r="J196" s="2318"/>
      <c r="K196" s="2318"/>
      <c r="L196" s="2318"/>
      <c r="M196" s="2318"/>
      <c r="N196" s="2318"/>
      <c r="O196" s="2318"/>
      <c r="P196" s="2318"/>
      <c r="Q196" s="2318"/>
      <c r="R196" s="2318"/>
      <c r="S196" s="2318"/>
      <c r="T196" s="2318"/>
      <c r="U196" s="2318"/>
      <c r="V196" s="2318"/>
      <c r="W196" s="2318"/>
      <c r="X196" s="2318"/>
      <c r="Y196" s="2318"/>
      <c r="Z196" s="2318"/>
      <c r="AA196" s="2318"/>
      <c r="AB196" s="231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18" t="s">
        <v>2245</v>
      </c>
      <c r="F198" s="2318"/>
      <c r="G198" s="2318"/>
      <c r="H198" s="2318"/>
      <c r="I198" s="2318"/>
      <c r="J198" s="2318"/>
      <c r="K198" s="2318"/>
      <c r="L198" s="2318"/>
      <c r="M198" s="2318"/>
      <c r="N198" s="2318"/>
      <c r="O198" s="2318"/>
      <c r="P198" s="2318"/>
      <c r="Q198" s="2318"/>
      <c r="R198" s="2318"/>
      <c r="S198" s="2318"/>
      <c r="T198" s="2318"/>
      <c r="U198" s="2318"/>
      <c r="V198" s="2318"/>
      <c r="W198" s="2318"/>
      <c r="X198" s="2318"/>
      <c r="Y198" s="2318"/>
      <c r="Z198" s="2318"/>
      <c r="AA198" s="2318"/>
      <c r="AB198" s="2318"/>
      <c r="AF198" s="2364" t="s">
        <v>114</v>
      </c>
      <c r="AG198" s="2364"/>
      <c r="AH198" s="2364"/>
      <c r="AI198" s="2364"/>
      <c r="AJ198" s="2364"/>
      <c r="AK198" s="2364"/>
      <c r="AL198" s="2364"/>
      <c r="AM198" s="153"/>
      <c r="AN198" s="439"/>
      <c r="AO198" s="144" t="s">
        <v>214</v>
      </c>
      <c r="AP198" s="46">
        <v>1</v>
      </c>
    </row>
    <row r="199" spans="1:42" s="46" customFormat="1" ht="12.75" customHeight="1">
      <c r="A199" s="153"/>
      <c r="B199" s="8"/>
      <c r="C199" s="204"/>
      <c r="E199" s="2318"/>
      <c r="F199" s="2318"/>
      <c r="G199" s="2318"/>
      <c r="H199" s="2318"/>
      <c r="I199" s="2318"/>
      <c r="J199" s="2318"/>
      <c r="K199" s="2318"/>
      <c r="L199" s="2318"/>
      <c r="M199" s="2318"/>
      <c r="N199" s="2318"/>
      <c r="O199" s="2318"/>
      <c r="P199" s="2318"/>
      <c r="Q199" s="2318"/>
      <c r="R199" s="2318"/>
      <c r="S199" s="2318"/>
      <c r="T199" s="2318"/>
      <c r="U199" s="2318"/>
      <c r="V199" s="2318"/>
      <c r="W199" s="2318"/>
      <c r="X199" s="2318"/>
      <c r="Y199" s="2318"/>
      <c r="Z199" s="2318"/>
      <c r="AA199" s="2318"/>
      <c r="AB199" s="2318"/>
      <c r="AD199" s="8"/>
      <c r="AE199" s="27"/>
      <c r="AM199" s="153"/>
      <c r="AN199" s="439"/>
    </row>
    <row r="200" spans="1:42" s="46" customFormat="1" ht="12.75" customHeight="1">
      <c r="A200" s="153"/>
      <c r="B200" s="8"/>
      <c r="C200" s="204"/>
      <c r="E200" s="2318"/>
      <c r="F200" s="2318"/>
      <c r="G200" s="2318"/>
      <c r="H200" s="2318"/>
      <c r="I200" s="2318"/>
      <c r="J200" s="2318"/>
      <c r="K200" s="2318"/>
      <c r="L200" s="2318"/>
      <c r="M200" s="2318"/>
      <c r="N200" s="2318"/>
      <c r="O200" s="2318"/>
      <c r="P200" s="2318"/>
      <c r="Q200" s="2318"/>
      <c r="R200" s="2318"/>
      <c r="S200" s="2318"/>
      <c r="T200" s="2318"/>
      <c r="U200" s="2318"/>
      <c r="V200" s="2318"/>
      <c r="W200" s="2318"/>
      <c r="X200" s="2318"/>
      <c r="Y200" s="2318"/>
      <c r="Z200" s="2318"/>
      <c r="AA200" s="2318"/>
      <c r="AB200" s="2318"/>
      <c r="AD200" s="8"/>
      <c r="AE200" s="27"/>
      <c r="AM200" s="153"/>
      <c r="AN200" s="439"/>
    </row>
    <row r="201" spans="1:42" s="16" customFormat="1" ht="12.75" customHeight="1">
      <c r="A201" s="153"/>
      <c r="B201" s="8"/>
      <c r="C201" s="204"/>
      <c r="D201" s="46"/>
      <c r="E201" s="2318"/>
      <c r="F201" s="2318"/>
      <c r="G201" s="2318"/>
      <c r="H201" s="2318"/>
      <c r="I201" s="2318"/>
      <c r="J201" s="2318"/>
      <c r="K201" s="2318"/>
      <c r="L201" s="2318"/>
      <c r="M201" s="2318"/>
      <c r="N201" s="2318"/>
      <c r="O201" s="2318"/>
      <c r="P201" s="2318"/>
      <c r="Q201" s="2318"/>
      <c r="R201" s="2318"/>
      <c r="S201" s="2318"/>
      <c r="T201" s="2318"/>
      <c r="U201" s="2318"/>
      <c r="V201" s="2318"/>
      <c r="W201" s="2318"/>
      <c r="X201" s="2318"/>
      <c r="Y201" s="2318"/>
      <c r="Z201" s="2318"/>
      <c r="AA201" s="2318"/>
      <c r="AB201" s="231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4"/>
      <c r="F202" s="1384"/>
      <c r="G202" s="1384"/>
      <c r="H202" s="1384"/>
      <c r="I202" s="1384"/>
      <c r="J202" s="1384"/>
      <c r="K202" s="1384"/>
      <c r="L202" s="1384"/>
      <c r="M202" s="1384"/>
      <c r="N202" s="1384"/>
      <c r="O202" s="1384"/>
      <c r="P202" s="1384"/>
      <c r="Q202" s="1384"/>
      <c r="R202" s="1384"/>
      <c r="S202" s="1384"/>
      <c r="T202" s="1384"/>
      <c r="U202" s="1384"/>
      <c r="V202" s="1384"/>
      <c r="W202" s="1384"/>
      <c r="X202" s="1384"/>
      <c r="Y202" s="1384"/>
      <c r="Z202" s="1384"/>
      <c r="AA202" s="1384"/>
      <c r="AB202" s="138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6" t="s">
        <v>2246</v>
      </c>
      <c r="F203" s="2566"/>
      <c r="G203" s="2566"/>
      <c r="H203" s="2566"/>
      <c r="I203" s="2566"/>
      <c r="J203" s="2566"/>
      <c r="K203" s="2566"/>
      <c r="L203" s="2566"/>
      <c r="M203" s="2566"/>
      <c r="N203" s="2566"/>
      <c r="O203" s="2566"/>
      <c r="P203" s="2566"/>
      <c r="Q203" s="2566"/>
      <c r="R203" s="2566"/>
      <c r="S203" s="2566"/>
      <c r="T203" s="2566"/>
      <c r="U203" s="2566"/>
      <c r="V203" s="2566"/>
      <c r="W203" s="2566"/>
      <c r="X203" s="2566"/>
      <c r="Y203" s="2566"/>
      <c r="Z203" s="2566"/>
      <c r="AA203" s="2566"/>
      <c r="AB203" s="256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6"/>
      <c r="F204" s="2566"/>
      <c r="G204" s="2566"/>
      <c r="H204" s="2566"/>
      <c r="I204" s="2566"/>
      <c r="J204" s="2566"/>
      <c r="K204" s="2566"/>
      <c r="L204" s="2566"/>
      <c r="M204" s="2566"/>
      <c r="N204" s="2566"/>
      <c r="O204" s="2566"/>
      <c r="P204" s="2566"/>
      <c r="Q204" s="2566"/>
      <c r="R204" s="2566"/>
      <c r="S204" s="2566"/>
      <c r="T204" s="2566"/>
      <c r="U204" s="2566"/>
      <c r="V204" s="2566"/>
      <c r="W204" s="2566"/>
      <c r="X204" s="2566"/>
      <c r="Y204" s="2566"/>
      <c r="Z204" s="2566"/>
      <c r="AA204" s="2566"/>
      <c r="AB204" s="256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6"/>
      <c r="F205" s="2566"/>
      <c r="G205" s="2566"/>
      <c r="H205" s="2566"/>
      <c r="I205" s="2566"/>
      <c r="J205" s="2566"/>
      <c r="K205" s="2566"/>
      <c r="L205" s="2566"/>
      <c r="M205" s="2566"/>
      <c r="N205" s="2566"/>
      <c r="O205" s="2566"/>
      <c r="P205" s="2566"/>
      <c r="Q205" s="2566"/>
      <c r="R205" s="2566"/>
      <c r="S205" s="2566"/>
      <c r="T205" s="2566"/>
      <c r="U205" s="2566"/>
      <c r="V205" s="2566"/>
      <c r="W205" s="2566"/>
      <c r="X205" s="2566"/>
      <c r="Y205" s="2566"/>
      <c r="Z205" s="2566"/>
      <c r="AA205" s="2566"/>
      <c r="AB205" s="256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3" t="s">
        <v>641</v>
      </c>
      <c r="I206" s="237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9">
        <f>VLOOKUP($H$206,$AO$156:$AP$158,2,FALSE)</f>
        <v>3</v>
      </c>
      <c r="AK208" s="236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3" t="s">
        <v>1389</v>
      </c>
      <c r="F212" s="2473"/>
      <c r="G212" s="2473"/>
      <c r="H212" s="2473"/>
      <c r="I212" s="2473"/>
      <c r="J212" s="2473"/>
      <c r="K212" s="2473"/>
      <c r="L212" s="2473"/>
      <c r="M212" s="2473"/>
      <c r="N212" s="2473"/>
      <c r="O212" s="2473"/>
      <c r="P212" s="2473"/>
      <c r="Q212" s="2473"/>
      <c r="R212" s="2473"/>
      <c r="S212" s="2473"/>
      <c r="T212" s="2473"/>
      <c r="U212" s="2473"/>
      <c r="V212" s="2473"/>
      <c r="W212" s="2473"/>
      <c r="X212" s="2473"/>
      <c r="Y212" s="2473"/>
      <c r="Z212" s="2473"/>
      <c r="AA212" s="2473"/>
      <c r="AB212" s="2473"/>
      <c r="AC212" s="46"/>
      <c r="AD212" s="46"/>
      <c r="AF212" s="2364" t="s">
        <v>66</v>
      </c>
      <c r="AG212" s="2364"/>
      <c r="AH212" s="2364"/>
      <c r="AI212" s="2364"/>
      <c r="AJ212" s="2364"/>
      <c r="AK212" s="2364"/>
      <c r="AL212" s="2364"/>
      <c r="AM212" s="153"/>
      <c r="AN212" s="317"/>
      <c r="AP212" s="50" t="s">
        <v>109</v>
      </c>
    </row>
    <row r="213" spans="1:52" s="16" customFormat="1" ht="11.85" customHeight="1">
      <c r="A213" s="28"/>
      <c r="B213" s="161"/>
      <c r="C213" s="187"/>
      <c r="D213" s="144"/>
      <c r="E213" s="2473"/>
      <c r="F213" s="2473"/>
      <c r="G213" s="2473"/>
      <c r="H213" s="2473"/>
      <c r="I213" s="2473"/>
      <c r="J213" s="2473"/>
      <c r="K213" s="2473"/>
      <c r="L213" s="2473"/>
      <c r="M213" s="2473"/>
      <c r="N213" s="2473"/>
      <c r="O213" s="2473"/>
      <c r="P213" s="2473"/>
      <c r="Q213" s="2473"/>
      <c r="R213" s="2473"/>
      <c r="S213" s="2473"/>
      <c r="T213" s="2473"/>
      <c r="U213" s="2473"/>
      <c r="V213" s="2473"/>
      <c r="W213" s="2473"/>
      <c r="X213" s="2473"/>
      <c r="Y213" s="2473"/>
      <c r="Z213" s="2473"/>
      <c r="AA213" s="2473"/>
      <c r="AB213" s="2473"/>
      <c r="AC213" s="46"/>
      <c r="AD213" s="46"/>
      <c r="AE213" s="28"/>
      <c r="AM213" s="153"/>
      <c r="AN213" s="317"/>
      <c r="AP213" s="50" t="s">
        <v>106</v>
      </c>
    </row>
    <row r="214" spans="1:52" s="16" customFormat="1" ht="13.95" customHeight="1">
      <c r="A214" s="28"/>
      <c r="B214" s="148"/>
      <c r="C214" s="188"/>
      <c r="D214" s="144"/>
      <c r="E214" s="2473"/>
      <c r="F214" s="2473"/>
      <c r="G214" s="2473"/>
      <c r="H214" s="2473"/>
      <c r="I214" s="2473"/>
      <c r="J214" s="2473"/>
      <c r="K214" s="2473"/>
      <c r="L214" s="2473"/>
      <c r="M214" s="2473"/>
      <c r="N214" s="2473"/>
      <c r="O214" s="2473"/>
      <c r="P214" s="2473"/>
      <c r="Q214" s="2473"/>
      <c r="R214" s="2473"/>
      <c r="S214" s="2473"/>
      <c r="T214" s="2473"/>
      <c r="U214" s="2473"/>
      <c r="V214" s="2473"/>
      <c r="W214" s="2473"/>
      <c r="X214" s="2473"/>
      <c r="Y214" s="2473"/>
      <c r="Z214" s="2473"/>
      <c r="AA214" s="2473"/>
      <c r="AB214" s="2473"/>
      <c r="AC214" s="46"/>
      <c r="AD214" s="46"/>
      <c r="AE214" s="27"/>
      <c r="AM214" s="153"/>
      <c r="AN214" s="317"/>
      <c r="AP214" s="50" t="s">
        <v>107</v>
      </c>
    </row>
    <row r="215" spans="1:52" s="16" customFormat="1" ht="13.95" customHeight="1">
      <c r="A215" s="28"/>
      <c r="B215" s="74"/>
      <c r="C215" s="77"/>
      <c r="D215" s="144" t="s">
        <v>214</v>
      </c>
      <c r="E215" s="2561" t="s">
        <v>1390</v>
      </c>
      <c r="F215" s="2561"/>
      <c r="G215" s="2561"/>
      <c r="H215" s="2561"/>
      <c r="I215" s="2561"/>
      <c r="J215" s="2561"/>
      <c r="K215" s="2561"/>
      <c r="L215" s="2561"/>
      <c r="M215" s="2561"/>
      <c r="N215" s="2561"/>
      <c r="O215" s="2561"/>
      <c r="P215" s="2561"/>
      <c r="Q215" s="2561"/>
      <c r="R215" s="2561"/>
      <c r="S215" s="2561"/>
      <c r="T215" s="2561"/>
      <c r="U215" s="2561"/>
      <c r="V215" s="2561"/>
      <c r="W215" s="2561"/>
      <c r="X215" s="2561"/>
      <c r="Y215" s="2561"/>
      <c r="Z215" s="2561"/>
      <c r="AA215" s="2561"/>
      <c r="AB215" s="2561"/>
      <c r="AC215" s="46"/>
      <c r="AD215" s="46"/>
      <c r="AF215" s="2364" t="s">
        <v>114</v>
      </c>
      <c r="AG215" s="2364"/>
      <c r="AH215" s="2364"/>
      <c r="AI215" s="2364"/>
      <c r="AJ215" s="2364"/>
      <c r="AK215" s="2364"/>
      <c r="AL215" s="2364"/>
      <c r="AM215" s="153"/>
      <c r="AN215" s="1138"/>
      <c r="AP215" s="499" t="s">
        <v>389</v>
      </c>
    </row>
    <row r="216" spans="1:52" s="16" customFormat="1" ht="12.75" customHeight="1">
      <c r="A216" s="28"/>
      <c r="B216" s="161"/>
      <c r="C216" s="187"/>
      <c r="D216" s="28"/>
      <c r="E216" s="2561"/>
      <c r="F216" s="2561"/>
      <c r="G216" s="2561"/>
      <c r="H216" s="2561"/>
      <c r="I216" s="2561"/>
      <c r="J216" s="2561"/>
      <c r="K216" s="2561"/>
      <c r="L216" s="2561"/>
      <c r="M216" s="2561"/>
      <c r="N216" s="2561"/>
      <c r="O216" s="2561"/>
      <c r="P216" s="2561"/>
      <c r="Q216" s="2561"/>
      <c r="R216" s="2561"/>
      <c r="S216" s="2561"/>
      <c r="T216" s="2561"/>
      <c r="U216" s="2561"/>
      <c r="V216" s="2561"/>
      <c r="W216" s="2561"/>
      <c r="X216" s="2561"/>
      <c r="Y216" s="2561"/>
      <c r="Z216" s="2561"/>
      <c r="AA216" s="2561"/>
      <c r="AB216" s="2561"/>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561"/>
      <c r="F217" s="2561"/>
      <c r="G217" s="2561"/>
      <c r="H217" s="2561"/>
      <c r="I217" s="2561"/>
      <c r="J217" s="2561"/>
      <c r="K217" s="2561"/>
      <c r="L217" s="2561"/>
      <c r="M217" s="2561"/>
      <c r="N217" s="2561"/>
      <c r="O217" s="2561"/>
      <c r="P217" s="2561"/>
      <c r="Q217" s="2561"/>
      <c r="R217" s="2561"/>
      <c r="S217" s="2561"/>
      <c r="T217" s="2561"/>
      <c r="U217" s="2561"/>
      <c r="V217" s="2561"/>
      <c r="W217" s="2561"/>
      <c r="X217" s="2561"/>
      <c r="Y217" s="2561"/>
      <c r="Z217" s="2561"/>
      <c r="AA217" s="2561"/>
      <c r="AB217" s="2561"/>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73" t="s">
        <v>136</v>
      </c>
      <c r="I218" s="237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9">
        <f>VLOOKUP($H$218,$AO$156:$AP$158,2,FALSE)</f>
        <v>0</v>
      </c>
      <c r="AK220" s="2360"/>
      <c r="AL220" s="25"/>
      <c r="AM220" s="137"/>
      <c r="AN220" s="1139"/>
      <c r="AP220" s="2359"/>
      <c r="AQ220" s="236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18" t="s">
        <v>1671</v>
      </c>
      <c r="F224" s="2318"/>
      <c r="G224" s="2318"/>
      <c r="H224" s="2318"/>
      <c r="I224" s="2318"/>
      <c r="J224" s="2318"/>
      <c r="K224" s="2318"/>
      <c r="L224" s="2318"/>
      <c r="M224" s="2318"/>
      <c r="N224" s="2318"/>
      <c r="O224" s="2318"/>
      <c r="P224" s="2318"/>
      <c r="Q224" s="2318"/>
      <c r="R224" s="2318"/>
      <c r="S224" s="2318"/>
      <c r="T224" s="2318"/>
      <c r="U224" s="2318"/>
      <c r="V224" s="2318"/>
      <c r="W224" s="2318"/>
      <c r="X224" s="2318"/>
      <c r="Y224" s="2318"/>
      <c r="Z224" s="2318"/>
      <c r="AA224" s="2318"/>
      <c r="AB224" s="2318"/>
      <c r="AC224" s="46"/>
      <c r="AD224" s="46"/>
      <c r="AF224" s="2364" t="s">
        <v>66</v>
      </c>
      <c r="AG224" s="2364"/>
      <c r="AH224" s="2364"/>
      <c r="AI224" s="2364"/>
      <c r="AJ224" s="2364"/>
      <c r="AK224" s="2364"/>
      <c r="AL224" s="2364"/>
      <c r="AM224" s="153"/>
      <c r="AN224" s="317"/>
      <c r="AT224" s="65"/>
      <c r="AU224" s="65"/>
      <c r="AV224" s="65"/>
      <c r="AW224" s="65"/>
      <c r="AX224" s="65"/>
      <c r="AY224" s="65"/>
      <c r="AZ224" s="65"/>
    </row>
    <row r="225" spans="1:82" s="16" customFormat="1">
      <c r="A225" s="28"/>
      <c r="B225" s="161"/>
      <c r="C225" s="187"/>
      <c r="D225" s="144"/>
      <c r="E225" s="2318"/>
      <c r="F225" s="2318"/>
      <c r="G225" s="2318"/>
      <c r="H225" s="2318"/>
      <c r="I225" s="2318"/>
      <c r="J225" s="2318"/>
      <c r="K225" s="2318"/>
      <c r="L225" s="2318"/>
      <c r="M225" s="2318"/>
      <c r="N225" s="2318"/>
      <c r="O225" s="2318"/>
      <c r="P225" s="2318"/>
      <c r="Q225" s="2318"/>
      <c r="R225" s="2318"/>
      <c r="S225" s="2318"/>
      <c r="T225" s="2318"/>
      <c r="U225" s="2318"/>
      <c r="V225" s="2318"/>
      <c r="W225" s="2318"/>
      <c r="X225" s="2318"/>
      <c r="Y225" s="2318"/>
      <c r="Z225" s="2318"/>
      <c r="AA225" s="2318"/>
      <c r="AB225" s="231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18" t="s">
        <v>981</v>
      </c>
      <c r="F227" s="2318"/>
      <c r="G227" s="2318"/>
      <c r="H227" s="2318"/>
      <c r="I227" s="2318"/>
      <c r="J227" s="2318"/>
      <c r="K227" s="2318"/>
      <c r="L227" s="2318"/>
      <c r="M227" s="2318"/>
      <c r="N227" s="2318"/>
      <c r="O227" s="2318"/>
      <c r="P227" s="2318"/>
      <c r="Q227" s="2318"/>
      <c r="R227" s="2318"/>
      <c r="S227" s="2318"/>
      <c r="T227" s="2318"/>
      <c r="U227" s="2318"/>
      <c r="V227" s="2318"/>
      <c r="W227" s="2318"/>
      <c r="X227" s="2318"/>
      <c r="Y227" s="2318"/>
      <c r="Z227" s="2318"/>
      <c r="AA227" s="2318"/>
      <c r="AB227" s="2318"/>
      <c r="AC227" s="46"/>
      <c r="AD227" s="46"/>
      <c r="AF227" s="2364" t="s">
        <v>114</v>
      </c>
      <c r="AG227" s="2364"/>
      <c r="AH227" s="2364"/>
      <c r="AI227" s="2364"/>
      <c r="AJ227" s="2364"/>
      <c r="AK227" s="2364"/>
      <c r="AL227" s="2364"/>
      <c r="AM227" s="153"/>
      <c r="AN227" s="317"/>
      <c r="AT227" s="65"/>
      <c r="AU227" s="65"/>
      <c r="AV227" s="65"/>
      <c r="AW227" s="65"/>
      <c r="AX227" s="65"/>
      <c r="AY227" s="65"/>
      <c r="AZ227" s="65"/>
    </row>
    <row r="228" spans="1:82" s="16" customFormat="1">
      <c r="A228" s="28"/>
      <c r="B228" s="161"/>
      <c r="C228" s="187"/>
      <c r="D228" s="28"/>
      <c r="E228" s="2318"/>
      <c r="F228" s="2318"/>
      <c r="G228" s="231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3" t="s">
        <v>136</v>
      </c>
      <c r="I230" s="237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9">
        <f>VLOOKUP($H$230,$AO$170:$AP$172,2,FALSE)</f>
        <v>0</v>
      </c>
      <c r="AK232" s="236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18" t="s">
        <v>1245</v>
      </c>
      <c r="F236" s="2318"/>
      <c r="G236" s="2318"/>
      <c r="H236" s="2318"/>
      <c r="I236" s="2318"/>
      <c r="J236" s="2318"/>
      <c r="K236" s="2318"/>
      <c r="L236" s="2318"/>
      <c r="M236" s="2318"/>
      <c r="N236" s="2318"/>
      <c r="O236" s="2318"/>
      <c r="P236" s="2318"/>
      <c r="Q236" s="2318"/>
      <c r="R236" s="2318"/>
      <c r="S236" s="2318"/>
      <c r="T236" s="2318"/>
      <c r="U236" s="2318"/>
      <c r="V236" s="2318"/>
      <c r="W236" s="2318"/>
      <c r="X236" s="2318"/>
      <c r="Y236" s="2318"/>
      <c r="Z236" s="2318"/>
      <c r="AA236" s="2318"/>
      <c r="AB236" s="2318"/>
      <c r="AC236" s="46"/>
      <c r="AD236" s="46"/>
      <c r="AF236" s="2364" t="s">
        <v>66</v>
      </c>
      <c r="AG236" s="2364"/>
      <c r="AH236" s="2364"/>
      <c r="AI236" s="2364"/>
      <c r="AJ236" s="2364"/>
      <c r="AK236" s="2364"/>
      <c r="AL236" s="2364"/>
      <c r="AM236" s="153"/>
      <c r="AN236" s="317"/>
      <c r="AT236" s="65"/>
      <c r="AU236" s="65"/>
      <c r="AV236" s="65"/>
      <c r="AW236" s="65"/>
      <c r="AX236" s="65"/>
      <c r="AY236" s="65"/>
      <c r="AZ236" s="65"/>
    </row>
    <row r="237" spans="1:82" s="16" customFormat="1">
      <c r="A237" s="28"/>
      <c r="B237" s="161"/>
      <c r="C237" s="187"/>
      <c r="D237" s="144"/>
      <c r="E237" s="2318"/>
      <c r="F237" s="2318"/>
      <c r="G237" s="2318"/>
      <c r="H237" s="2318"/>
      <c r="I237" s="2318"/>
      <c r="J237" s="2318"/>
      <c r="K237" s="2318"/>
      <c r="L237" s="2318"/>
      <c r="M237" s="2318"/>
      <c r="N237" s="2318"/>
      <c r="O237" s="2318"/>
      <c r="P237" s="2318"/>
      <c r="Q237" s="2318"/>
      <c r="R237" s="2318"/>
      <c r="S237" s="2318"/>
      <c r="T237" s="2318"/>
      <c r="U237" s="2318"/>
      <c r="V237" s="2318"/>
      <c r="W237" s="2318"/>
      <c r="X237" s="2318"/>
      <c r="Y237" s="2318"/>
      <c r="Z237" s="2318"/>
      <c r="AA237" s="2318"/>
      <c r="AB237" s="2318"/>
      <c r="AC237" s="46"/>
      <c r="AD237" s="46"/>
      <c r="AL237" s="153"/>
      <c r="AM237" s="153"/>
      <c r="AN237" s="317"/>
    </row>
    <row r="238" spans="1:82" s="50" customFormat="1" ht="12.75" customHeight="1">
      <c r="A238" s="28"/>
      <c r="B238" s="161"/>
      <c r="C238" s="187"/>
      <c r="D238" s="144"/>
      <c r="E238" s="2318"/>
      <c r="F238" s="2318"/>
      <c r="G238" s="2318"/>
      <c r="H238" s="2318"/>
      <c r="I238" s="2318"/>
      <c r="J238" s="2318"/>
      <c r="K238" s="2318"/>
      <c r="L238" s="2318"/>
      <c r="M238" s="2318"/>
      <c r="N238" s="2318"/>
      <c r="O238" s="2318"/>
      <c r="P238" s="2318"/>
      <c r="Q238" s="2318"/>
      <c r="R238" s="2318"/>
      <c r="S238" s="2318"/>
      <c r="T238" s="2318"/>
      <c r="U238" s="2318"/>
      <c r="V238" s="2318"/>
      <c r="W238" s="2318"/>
      <c r="X238" s="2318"/>
      <c r="Y238" s="2318"/>
      <c r="Z238" s="2318"/>
      <c r="AA238" s="2318"/>
      <c r="AB238" s="2318"/>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18" t="s">
        <v>1246</v>
      </c>
      <c r="F240" s="2318"/>
      <c r="G240" s="2318"/>
      <c r="H240" s="2318"/>
      <c r="I240" s="2318"/>
      <c r="J240" s="2318"/>
      <c r="K240" s="2318"/>
      <c r="L240" s="2318"/>
      <c r="M240" s="2318"/>
      <c r="N240" s="2318"/>
      <c r="O240" s="2318"/>
      <c r="P240" s="2318"/>
      <c r="Q240" s="2318"/>
      <c r="R240" s="2318"/>
      <c r="S240" s="2318"/>
      <c r="T240" s="2318"/>
      <c r="U240" s="2318"/>
      <c r="V240" s="2318"/>
      <c r="W240" s="2318"/>
      <c r="X240" s="2318"/>
      <c r="Y240" s="2318"/>
      <c r="Z240" s="2318"/>
      <c r="AA240" s="2318"/>
      <c r="AB240" s="540"/>
      <c r="AC240" s="46"/>
      <c r="AD240" s="46"/>
      <c r="AF240" s="2364" t="s">
        <v>114</v>
      </c>
      <c r="AG240" s="2364"/>
      <c r="AH240" s="2364"/>
      <c r="AI240" s="2364"/>
      <c r="AJ240" s="2364"/>
      <c r="AK240" s="2364"/>
      <c r="AL240" s="2364"/>
      <c r="AM240" s="153"/>
      <c r="AN240" s="317"/>
      <c r="AO240" s="132"/>
      <c r="AP240" s="65"/>
    </row>
    <row r="241" spans="1:74" s="16" customFormat="1">
      <c r="A241" s="28"/>
      <c r="B241" s="74"/>
      <c r="C241" s="77"/>
      <c r="D241" s="28"/>
      <c r="E241" s="2318"/>
      <c r="F241" s="2318"/>
      <c r="G241" s="2318"/>
      <c r="H241" s="2318"/>
      <c r="I241" s="2318"/>
      <c r="J241" s="2318"/>
      <c r="K241" s="2318"/>
      <c r="L241" s="2318"/>
      <c r="M241" s="2318"/>
      <c r="N241" s="2318"/>
      <c r="O241" s="2318"/>
      <c r="P241" s="2318"/>
      <c r="Q241" s="2318"/>
      <c r="R241" s="2318"/>
      <c r="S241" s="2318"/>
      <c r="T241" s="2318"/>
      <c r="U241" s="2318"/>
      <c r="V241" s="2318"/>
      <c r="W241" s="2318"/>
      <c r="X241" s="2318"/>
      <c r="Y241" s="2318"/>
      <c r="Z241" s="2318"/>
      <c r="AA241" s="231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8"/>
      <c r="F242" s="2318"/>
      <c r="G242" s="2318"/>
      <c r="H242" s="2318"/>
      <c r="I242" s="2318"/>
      <c r="J242" s="2318"/>
      <c r="K242" s="2318"/>
      <c r="L242" s="2318"/>
      <c r="M242" s="2318"/>
      <c r="N242" s="2318"/>
      <c r="O242" s="2318"/>
      <c r="P242" s="2318"/>
      <c r="Q242" s="2318"/>
      <c r="R242" s="2318"/>
      <c r="S242" s="2318"/>
      <c r="T242" s="2318"/>
      <c r="U242" s="2318"/>
      <c r="V242" s="2318"/>
      <c r="W242" s="2318"/>
      <c r="X242" s="2318"/>
      <c r="Y242" s="2318"/>
      <c r="Z242" s="2318"/>
      <c r="AA242" s="231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3" t="s">
        <v>641</v>
      </c>
      <c r="I244" s="237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9">
        <f>VLOOKUP($H$244,$AO$183:$AP$185,2,FALSE)</f>
        <v>3</v>
      </c>
      <c r="AK246" s="2360"/>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18" t="s">
        <v>353</v>
      </c>
      <c r="F250" s="2318"/>
      <c r="G250" s="2318"/>
      <c r="H250" s="2318"/>
      <c r="I250" s="2318"/>
      <c r="J250" s="2318"/>
      <c r="K250" s="2318"/>
      <c r="L250" s="2318"/>
      <c r="M250" s="2318"/>
      <c r="N250" s="2318"/>
      <c r="O250" s="2318"/>
      <c r="P250" s="2318"/>
      <c r="Q250" s="2318"/>
      <c r="R250" s="2318"/>
      <c r="S250" s="2318"/>
      <c r="T250" s="2318"/>
      <c r="U250" s="2318"/>
      <c r="V250" s="2318"/>
      <c r="W250" s="2318"/>
      <c r="X250" s="2318"/>
      <c r="Y250" s="2318"/>
      <c r="Z250" s="2318"/>
      <c r="AA250" s="2318"/>
      <c r="AB250" s="2318"/>
      <c r="AC250" s="46"/>
      <c r="AD250" s="46"/>
      <c r="AF250" s="2364" t="s">
        <v>114</v>
      </c>
      <c r="AG250" s="2364"/>
      <c r="AH250" s="2364"/>
      <c r="AI250" s="2364"/>
      <c r="AJ250" s="2364"/>
      <c r="AK250" s="2364"/>
      <c r="AL250" s="2364"/>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8"/>
      <c r="F251" s="2318"/>
      <c r="G251" s="2318"/>
      <c r="H251" s="2318"/>
      <c r="I251" s="2318"/>
      <c r="J251" s="2318"/>
      <c r="K251" s="2318"/>
      <c r="L251" s="2318"/>
      <c r="M251" s="2318"/>
      <c r="N251" s="2318"/>
      <c r="O251" s="2318"/>
      <c r="P251" s="2318"/>
      <c r="Q251" s="2318"/>
      <c r="R251" s="2318"/>
      <c r="S251" s="2318"/>
      <c r="T251" s="2318"/>
      <c r="U251" s="2318"/>
      <c r="V251" s="2318"/>
      <c r="W251" s="2318"/>
      <c r="X251" s="2318"/>
      <c r="Y251" s="2318"/>
      <c r="Z251" s="2318"/>
      <c r="AA251" s="2318"/>
      <c r="AB251" s="2318"/>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18" t="s">
        <v>1391</v>
      </c>
      <c r="F253" s="2318"/>
      <c r="G253" s="2318"/>
      <c r="H253" s="2318"/>
      <c r="I253" s="2318"/>
      <c r="J253" s="2318"/>
      <c r="K253" s="2318"/>
      <c r="L253" s="2318"/>
      <c r="M253" s="2318"/>
      <c r="N253" s="2318"/>
      <c r="O253" s="2318"/>
      <c r="P253" s="2318"/>
      <c r="Q253" s="2318"/>
      <c r="R253" s="2318"/>
      <c r="S253" s="2318"/>
      <c r="T253" s="2318"/>
      <c r="U253" s="2318"/>
      <c r="V253" s="2318"/>
      <c r="W253" s="2318"/>
      <c r="X253" s="2318"/>
      <c r="Y253" s="2318"/>
      <c r="Z253" s="2318"/>
      <c r="AA253" s="2318"/>
      <c r="AB253" s="2318"/>
      <c r="AC253" s="46"/>
      <c r="AD253" s="46"/>
      <c r="AF253" s="2364" t="s">
        <v>354</v>
      </c>
      <c r="AG253" s="2364"/>
      <c r="AH253" s="2364"/>
      <c r="AI253" s="2364"/>
      <c r="AJ253" s="2364"/>
      <c r="AK253" s="2364"/>
      <c r="AL253" s="2364"/>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8"/>
      <c r="F254" s="2318"/>
      <c r="G254" s="2318"/>
      <c r="H254" s="2318"/>
      <c r="I254" s="2318"/>
      <c r="J254" s="2318"/>
      <c r="K254" s="2318"/>
      <c r="L254" s="2318"/>
      <c r="M254" s="2318"/>
      <c r="N254" s="2318"/>
      <c r="O254" s="2318"/>
      <c r="P254" s="2318"/>
      <c r="Q254" s="2318"/>
      <c r="R254" s="2318"/>
      <c r="S254" s="2318"/>
      <c r="T254" s="2318"/>
      <c r="U254" s="2318"/>
      <c r="V254" s="2318"/>
      <c r="W254" s="2318"/>
      <c r="X254" s="2318"/>
      <c r="Y254" s="2318"/>
      <c r="Z254" s="2318"/>
      <c r="AA254" s="2318"/>
      <c r="AB254" s="2318"/>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3" t="s">
        <v>641</v>
      </c>
      <c r="I256" s="237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9">
        <f>VLOOKUP($H$256,$AO$196:$AP$198,2,FALSE)</f>
        <v>2</v>
      </c>
      <c r="AK258" s="2360"/>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18" t="s">
        <v>2242</v>
      </c>
      <c r="F262" s="2318"/>
      <c r="G262" s="2318"/>
      <c r="H262" s="2318"/>
      <c r="I262" s="2318"/>
      <c r="J262" s="2318"/>
      <c r="K262" s="2318"/>
      <c r="L262" s="2318"/>
      <c r="M262" s="2318"/>
      <c r="N262" s="2318"/>
      <c r="O262" s="2318"/>
      <c r="P262" s="2318"/>
      <c r="Q262" s="2318"/>
      <c r="R262" s="2318"/>
      <c r="S262" s="2318"/>
      <c r="T262" s="2318"/>
      <c r="U262" s="2318"/>
      <c r="V262" s="2318"/>
      <c r="W262" s="2318"/>
      <c r="X262" s="2318"/>
      <c r="Y262" s="2318"/>
      <c r="Z262" s="2318"/>
      <c r="AA262" s="2318"/>
      <c r="AB262" s="2318"/>
      <c r="AC262" s="2318"/>
      <c r="AD262" s="2318"/>
      <c r="AF262" s="2364" t="s">
        <v>114</v>
      </c>
      <c r="AG262" s="2364"/>
      <c r="AH262" s="2364"/>
      <c r="AI262" s="2364"/>
      <c r="AJ262" s="2364"/>
      <c r="AK262" s="2364"/>
      <c r="AL262" s="2364"/>
      <c r="AM262" s="175"/>
      <c r="AN262" s="317"/>
    </row>
    <row r="263" spans="1:74" s="16" customFormat="1">
      <c r="A263" s="28"/>
      <c r="B263" s="173"/>
      <c r="C263" s="218"/>
      <c r="D263" s="144"/>
      <c r="E263" s="2318"/>
      <c r="F263" s="2318"/>
      <c r="G263" s="2318"/>
      <c r="H263" s="2318"/>
      <c r="I263" s="2318"/>
      <c r="J263" s="2318"/>
      <c r="K263" s="2318"/>
      <c r="L263" s="2318"/>
      <c r="M263" s="2318"/>
      <c r="N263" s="2318"/>
      <c r="O263" s="2318"/>
      <c r="P263" s="2318"/>
      <c r="Q263" s="2318"/>
      <c r="R263" s="2318"/>
      <c r="S263" s="2318"/>
      <c r="T263" s="2318"/>
      <c r="U263" s="2318"/>
      <c r="V263" s="2318"/>
      <c r="W263" s="2318"/>
      <c r="X263" s="2318"/>
      <c r="Y263" s="2318"/>
      <c r="Z263" s="2318"/>
      <c r="AA263" s="2318"/>
      <c r="AB263" s="2318"/>
      <c r="AC263" s="2318"/>
      <c r="AD263" s="2318"/>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8"/>
      <c r="F264" s="2318"/>
      <c r="G264" s="2318"/>
      <c r="H264" s="2318"/>
      <c r="I264" s="2318"/>
      <c r="J264" s="2318"/>
      <c r="K264" s="2318"/>
      <c r="L264" s="2318"/>
      <c r="M264" s="2318"/>
      <c r="N264" s="2318"/>
      <c r="O264" s="2318"/>
      <c r="P264" s="2318"/>
      <c r="Q264" s="2318"/>
      <c r="R264" s="2318"/>
      <c r="S264" s="2318"/>
      <c r="T264" s="2318"/>
      <c r="U264" s="2318"/>
      <c r="V264" s="2318"/>
      <c r="W264" s="2318"/>
      <c r="X264" s="2318"/>
      <c r="Y264" s="2318"/>
      <c r="Z264" s="2318"/>
      <c r="AA264" s="2318"/>
      <c r="AB264" s="2318"/>
      <c r="AC264" s="2318"/>
      <c r="AD264" s="2318"/>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4" t="s">
        <v>2243</v>
      </c>
      <c r="F266" s="2374"/>
      <c r="G266" s="2374"/>
      <c r="H266" s="2374"/>
      <c r="I266" s="2374"/>
      <c r="J266" s="2374"/>
      <c r="K266" s="2374"/>
      <c r="L266" s="2374"/>
      <c r="M266" s="2374"/>
      <c r="N266" s="2374"/>
      <c r="O266" s="2374"/>
      <c r="P266" s="2374"/>
      <c r="Q266" s="2374"/>
      <c r="R266" s="2374"/>
      <c r="S266" s="2374"/>
      <c r="T266" s="2374"/>
      <c r="U266" s="2374"/>
      <c r="V266" s="2374"/>
      <c r="W266" s="2374"/>
      <c r="X266" s="2374"/>
      <c r="Y266" s="2374"/>
      <c r="Z266" s="2374"/>
      <c r="AA266" s="2374"/>
      <c r="AB266" s="2374"/>
      <c r="AC266" s="2374"/>
      <c r="AD266" s="2374"/>
      <c r="AF266" s="2364" t="s">
        <v>66</v>
      </c>
      <c r="AG266" s="2364"/>
      <c r="AH266" s="2364"/>
      <c r="AI266" s="2364"/>
      <c r="AJ266" s="2364"/>
      <c r="AK266" s="2364"/>
      <c r="AL266" s="2364"/>
      <c r="AM266" s="175"/>
      <c r="AN266" s="439"/>
    </row>
    <row r="267" spans="1:74" s="46" customFormat="1" ht="12.75" customHeight="1">
      <c r="A267" s="28"/>
      <c r="B267" s="173"/>
      <c r="C267" s="218"/>
      <c r="D267" s="144"/>
      <c r="E267" s="2374"/>
      <c r="F267" s="2374"/>
      <c r="G267" s="2374"/>
      <c r="H267" s="2374"/>
      <c r="I267" s="2374"/>
      <c r="J267" s="2374"/>
      <c r="K267" s="2374"/>
      <c r="L267" s="2374"/>
      <c r="M267" s="2374"/>
      <c r="N267" s="2374"/>
      <c r="O267" s="2374"/>
      <c r="P267" s="2374"/>
      <c r="Q267" s="2374"/>
      <c r="R267" s="2374"/>
      <c r="S267" s="2374"/>
      <c r="T267" s="2374"/>
      <c r="U267" s="2374"/>
      <c r="V267" s="2374"/>
      <c r="W267" s="2374"/>
      <c r="X267" s="2374"/>
      <c r="Y267" s="2374"/>
      <c r="Z267" s="2374"/>
      <c r="AA267" s="2374"/>
      <c r="AB267" s="2374"/>
      <c r="AC267" s="2374"/>
      <c r="AD267" s="2374"/>
      <c r="AE267" s="179"/>
      <c r="AF267" s="179"/>
      <c r="AG267" s="179"/>
      <c r="AH267" s="179"/>
      <c r="AI267" s="179"/>
      <c r="AJ267" s="179"/>
      <c r="AK267" s="179"/>
      <c r="AL267" s="1300"/>
      <c r="AM267" s="175"/>
      <c r="AN267" s="439"/>
    </row>
    <row r="268" spans="1:74" s="46" customFormat="1" ht="12.75" customHeight="1">
      <c r="A268" s="28"/>
      <c r="B268" s="173"/>
      <c r="C268" s="218"/>
      <c r="D268" s="144"/>
      <c r="E268" s="2374"/>
      <c r="F268" s="2374"/>
      <c r="G268" s="2374"/>
      <c r="H268" s="2374"/>
      <c r="I268" s="2374"/>
      <c r="J268" s="2374"/>
      <c r="K268" s="2374"/>
      <c r="L268" s="2374"/>
      <c r="M268" s="2374"/>
      <c r="N268" s="2374"/>
      <c r="O268" s="2374"/>
      <c r="P268" s="2374"/>
      <c r="Q268" s="2374"/>
      <c r="R268" s="2374"/>
      <c r="S268" s="2374"/>
      <c r="T268" s="2374"/>
      <c r="U268" s="2374"/>
      <c r="V268" s="2374"/>
      <c r="W268" s="2374"/>
      <c r="X268" s="2374"/>
      <c r="Y268" s="2374"/>
      <c r="Z268" s="2374"/>
      <c r="AA268" s="2374"/>
      <c r="AB268" s="2374"/>
      <c r="AC268" s="2374"/>
      <c r="AD268" s="2374"/>
      <c r="AE268" s="179"/>
      <c r="AF268" s="179"/>
      <c r="AG268" s="179"/>
      <c r="AH268" s="179"/>
      <c r="AI268" s="179"/>
      <c r="AJ268" s="179"/>
      <c r="AK268" s="179"/>
      <c r="AL268" s="1300"/>
      <c r="AM268" s="175"/>
      <c r="AN268" s="439"/>
    </row>
    <row r="269" spans="1:74" s="46" customFormat="1" ht="12.75" customHeight="1">
      <c r="A269" s="28"/>
      <c r="B269" s="173"/>
      <c r="C269" s="218"/>
      <c r="D269" s="144"/>
      <c r="E269" s="2374"/>
      <c r="F269" s="2374"/>
      <c r="G269" s="2374"/>
      <c r="H269" s="2374"/>
      <c r="I269" s="2374"/>
      <c r="J269" s="2374"/>
      <c r="K269" s="2374"/>
      <c r="L269" s="2374"/>
      <c r="M269" s="2374"/>
      <c r="N269" s="2374"/>
      <c r="O269" s="2374"/>
      <c r="P269" s="2374"/>
      <c r="Q269" s="2374"/>
      <c r="R269" s="2374"/>
      <c r="S269" s="2374"/>
      <c r="T269" s="2374"/>
      <c r="U269" s="2374"/>
      <c r="V269" s="2374"/>
      <c r="W269" s="2374"/>
      <c r="X269" s="2374"/>
      <c r="Y269" s="2374"/>
      <c r="Z269" s="2374"/>
      <c r="AA269" s="2374"/>
      <c r="AB269" s="2374"/>
      <c r="AC269" s="2374"/>
      <c r="AD269" s="2374"/>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3" t="s">
        <v>136</v>
      </c>
      <c r="I271" s="237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9">
        <f>VLOOKUP($H$271,$AP$216:$AQ$218,2,FALSE)</f>
        <v>0</v>
      </c>
      <c r="AK273" s="236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65" customHeight="1">
      <c r="A277" s="28"/>
      <c r="B277" s="173"/>
      <c r="C277" s="218"/>
      <c r="D277" s="144" t="s">
        <v>641</v>
      </c>
      <c r="E277" s="2318" t="s">
        <v>2241</v>
      </c>
      <c r="F277" s="2318"/>
      <c r="G277" s="2318"/>
      <c r="H277" s="2318"/>
      <c r="I277" s="2318"/>
      <c r="J277" s="2318"/>
      <c r="K277" s="2318"/>
      <c r="L277" s="2318"/>
      <c r="M277" s="2318"/>
      <c r="N277" s="2318"/>
      <c r="O277" s="2318"/>
      <c r="P277" s="2318"/>
      <c r="Q277" s="2318"/>
      <c r="R277" s="2318"/>
      <c r="S277" s="2318"/>
      <c r="T277" s="2318"/>
      <c r="U277" s="2318"/>
      <c r="V277" s="2318"/>
      <c r="W277" s="2318"/>
      <c r="X277" s="2318"/>
      <c r="Y277" s="2318"/>
      <c r="Z277" s="2318"/>
      <c r="AA277" s="2318"/>
      <c r="AB277" s="2318"/>
      <c r="AC277" s="2318"/>
      <c r="AD277" s="2318"/>
      <c r="AF277" s="2364" t="s">
        <v>1843</v>
      </c>
      <c r="AG277" s="2364"/>
      <c r="AH277" s="2364"/>
      <c r="AI277" s="2364"/>
      <c r="AJ277" s="2364"/>
      <c r="AK277" s="2364"/>
      <c r="AL277" s="2364"/>
      <c r="AM277" s="175"/>
      <c r="AN277" s="317"/>
      <c r="AO277" s="144" t="s">
        <v>119</v>
      </c>
      <c r="AP277" s="46">
        <v>8</v>
      </c>
      <c r="AT277" s="1028"/>
      <c r="AU277" s="1028"/>
      <c r="AV277" s="1028"/>
      <c r="AW277" s="1028"/>
      <c r="AX277" s="1028"/>
      <c r="AY277" s="1028"/>
      <c r="AZ277" s="1028"/>
    </row>
    <row r="278" spans="1:82" s="16" customFormat="1">
      <c r="A278" s="28"/>
      <c r="B278" s="173"/>
      <c r="C278" s="218"/>
      <c r="D278" s="144"/>
      <c r="E278" s="2318"/>
      <c r="F278" s="2318"/>
      <c r="G278" s="2318"/>
      <c r="H278" s="2318"/>
      <c r="I278" s="2318"/>
      <c r="J278" s="2318"/>
      <c r="K278" s="2318"/>
      <c r="L278" s="2318"/>
      <c r="M278" s="2318"/>
      <c r="N278" s="2318"/>
      <c r="O278" s="2318"/>
      <c r="P278" s="2318"/>
      <c r="Q278" s="2318"/>
      <c r="R278" s="2318"/>
      <c r="S278" s="2318"/>
      <c r="T278" s="2318"/>
      <c r="U278" s="2318"/>
      <c r="V278" s="2318"/>
      <c r="W278" s="2318"/>
      <c r="X278" s="2318"/>
      <c r="Y278" s="2318"/>
      <c r="Z278" s="2318"/>
      <c r="AA278" s="2318"/>
      <c r="AB278" s="2318"/>
      <c r="AC278" s="2318"/>
      <c r="AD278" s="2318"/>
      <c r="AE278" s="1022"/>
      <c r="AF278" s="1022"/>
      <c r="AG278" s="1022"/>
      <c r="AH278" s="1022"/>
      <c r="AI278" s="1022"/>
      <c r="AJ278" s="1022"/>
      <c r="AK278" s="1022"/>
      <c r="AL278" s="1300"/>
      <c r="AM278" s="175"/>
      <c r="AN278" s="317"/>
      <c r="AO278" s="144"/>
      <c r="AP278" s="46"/>
      <c r="AT278" s="1028"/>
      <c r="AU278" s="1028"/>
      <c r="AV278" s="1028"/>
      <c r="AW278" s="1028"/>
      <c r="AX278" s="1028"/>
      <c r="AY278" s="1028"/>
      <c r="AZ278" s="1028"/>
    </row>
    <row r="279" spans="1:82" s="16" customFormat="1">
      <c r="A279" s="28"/>
      <c r="B279" s="173"/>
      <c r="C279" s="218"/>
      <c r="D279" s="144"/>
      <c r="E279" s="2318"/>
      <c r="F279" s="2318"/>
      <c r="G279" s="2318"/>
      <c r="H279" s="2318"/>
      <c r="I279" s="2318"/>
      <c r="J279" s="2318"/>
      <c r="K279" s="2318"/>
      <c r="L279" s="2318"/>
      <c r="M279" s="2318"/>
      <c r="N279" s="2318"/>
      <c r="O279" s="2318"/>
      <c r="P279" s="2318"/>
      <c r="Q279" s="2318"/>
      <c r="R279" s="2318"/>
      <c r="S279" s="2318"/>
      <c r="T279" s="2318"/>
      <c r="U279" s="2318"/>
      <c r="V279" s="2318"/>
      <c r="W279" s="2318"/>
      <c r="X279" s="2318"/>
      <c r="Y279" s="2318"/>
      <c r="Z279" s="2318"/>
      <c r="AA279" s="2318"/>
      <c r="AB279" s="2318"/>
      <c r="AC279" s="2318"/>
      <c r="AD279" s="2318"/>
      <c r="AE279" s="1022"/>
      <c r="AF279" s="1022"/>
      <c r="AG279" s="1022"/>
      <c r="AH279" s="1022"/>
      <c r="AI279" s="1022"/>
      <c r="AJ279" s="1022"/>
      <c r="AK279" s="1022"/>
      <c r="AL279" s="1300"/>
      <c r="AM279" s="175"/>
      <c r="AN279" s="317"/>
      <c r="AO279" s="306"/>
      <c r="AT279" s="1028"/>
      <c r="AU279" s="1028"/>
      <c r="AV279" s="1028"/>
      <c r="AW279" s="1028"/>
      <c r="AX279" s="1028"/>
      <c r="AY279" s="1028"/>
      <c r="AZ279" s="1028"/>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0"/>
      <c r="AM280" s="175"/>
      <c r="AN280" s="317"/>
      <c r="AO280" s="306"/>
      <c r="AT280" s="1028"/>
      <c r="AU280" s="1028"/>
      <c r="AV280" s="1028"/>
      <c r="AW280" s="1028"/>
      <c r="AX280" s="1028"/>
      <c r="AY280" s="1028"/>
      <c r="AZ280" s="1028"/>
    </row>
    <row r="281" spans="1:82" s="16" customFormat="1">
      <c r="A281" s="28"/>
      <c r="B281" s="173"/>
      <c r="C281" s="218"/>
      <c r="D281" s="28" t="s">
        <v>163</v>
      </c>
      <c r="E281" s="1024"/>
      <c r="F281" s="1024"/>
      <c r="G281" s="1024"/>
      <c r="H281" s="2373" t="s">
        <v>136</v>
      </c>
      <c r="I281" s="237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1944</v>
      </c>
      <c r="AJ283" s="2359">
        <f>VLOOKUP($H$281,$AO$276:$AP$277,2,FALSE)</f>
        <v>0</v>
      </c>
      <c r="AK283" s="2360"/>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359">
        <f>$AJ$129+$AJ$144+$AJ$156+$AJ$189+$AJ$208+$AJ$220+$AJ$232+$AJ$246+$AJ$258+$AJ$273+AJ283</f>
        <v>25</v>
      </c>
      <c r="AL285" s="2417"/>
      <c r="AM285" s="236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7" t="s">
        <v>2409</v>
      </c>
      <c r="I289" s="1697"/>
      <c r="J289" s="1697"/>
      <c r="K289" s="1697"/>
      <c r="L289" s="1697"/>
      <c r="M289" s="1697"/>
      <c r="N289" s="1697"/>
      <c r="O289" s="1697"/>
      <c r="P289" s="1697"/>
      <c r="Q289" s="1697"/>
      <c r="R289" s="1697"/>
      <c r="S289" s="16"/>
      <c r="T289" s="72" t="s">
        <v>100</v>
      </c>
      <c r="U289" s="16"/>
      <c r="V289" s="72"/>
      <c r="W289" s="72"/>
      <c r="X289" s="72"/>
      <c r="Y289" s="72"/>
      <c r="Z289" s="16"/>
      <c r="AA289" s="1697" t="s">
        <v>2413</v>
      </c>
      <c r="AB289" s="1697"/>
      <c r="AC289" s="1697"/>
      <c r="AD289" s="1697"/>
      <c r="AE289" s="1697"/>
      <c r="AF289" s="1697"/>
      <c r="AG289" s="1697"/>
      <c r="AH289" s="1697"/>
      <c r="AI289" s="1697"/>
      <c r="AJ289" s="1697"/>
      <c r="AK289" s="1697"/>
      <c r="AL289" s="25"/>
      <c r="AM289" s="137"/>
      <c r="AN289" s="439"/>
    </row>
    <row r="290" spans="1:41" s="46" customFormat="1" ht="12.75" customHeight="1">
      <c r="A290" s="153"/>
      <c r="B290" s="72" t="s">
        <v>765</v>
      </c>
      <c r="C290" s="72"/>
      <c r="D290" s="72"/>
      <c r="E290" s="72"/>
      <c r="F290" s="72"/>
      <c r="G290" s="16"/>
      <c r="H290" s="1705" t="s">
        <v>2410</v>
      </c>
      <c r="I290" s="1705"/>
      <c r="J290" s="1705"/>
      <c r="K290" s="1705"/>
      <c r="L290" s="1705"/>
      <c r="M290" s="1705"/>
      <c r="N290" s="1705"/>
      <c r="O290" s="1705"/>
      <c r="P290" s="1705"/>
      <c r="Q290" s="1705"/>
      <c r="R290" s="1705"/>
      <c r="S290" s="16"/>
      <c r="T290" s="72" t="s">
        <v>765</v>
      </c>
      <c r="U290" s="16"/>
      <c r="V290" s="72"/>
      <c r="W290" s="72"/>
      <c r="X290" s="72"/>
      <c r="Y290" s="72"/>
      <c r="Z290" s="16"/>
      <c r="AA290" s="1705" t="s">
        <v>2414</v>
      </c>
      <c r="AB290" s="1705"/>
      <c r="AC290" s="1705"/>
      <c r="AD290" s="1705"/>
      <c r="AE290" s="1705"/>
      <c r="AF290" s="1705"/>
      <c r="AG290" s="1705"/>
      <c r="AH290" s="1705"/>
      <c r="AI290" s="1705"/>
      <c r="AJ290" s="1705"/>
      <c r="AK290" s="1705"/>
      <c r="AL290" s="25"/>
      <c r="AM290" s="137"/>
      <c r="AN290" s="439"/>
    </row>
    <row r="291" spans="1:41" s="46" customFormat="1" ht="12.75" customHeight="1">
      <c r="A291" s="153"/>
      <c r="B291" s="72" t="s">
        <v>110</v>
      </c>
      <c r="C291" s="72"/>
      <c r="D291" s="72"/>
      <c r="E291" s="72"/>
      <c r="F291" s="72"/>
      <c r="G291" s="16"/>
      <c r="H291" s="1705" t="s">
        <v>2411</v>
      </c>
      <c r="I291" s="1705"/>
      <c r="J291" s="1705"/>
      <c r="K291" s="1705"/>
      <c r="L291" s="1705"/>
      <c r="M291" s="1705"/>
      <c r="N291" s="1705"/>
      <c r="O291" s="1705"/>
      <c r="P291" s="1705"/>
      <c r="Q291" s="1705"/>
      <c r="R291" s="1705"/>
      <c r="S291" s="16"/>
      <c r="T291" s="72" t="s">
        <v>110</v>
      </c>
      <c r="U291" s="16"/>
      <c r="V291" s="72"/>
      <c r="W291" s="72"/>
      <c r="X291" s="72"/>
      <c r="Y291" s="72"/>
      <c r="Z291" s="16"/>
      <c r="AA291" s="1705" t="s">
        <v>2411</v>
      </c>
      <c r="AB291" s="1705"/>
      <c r="AC291" s="1705"/>
      <c r="AD291" s="1705"/>
      <c r="AE291" s="1705"/>
      <c r="AF291" s="1705"/>
      <c r="AG291" s="1705"/>
      <c r="AH291" s="1705"/>
      <c r="AI291" s="1705"/>
      <c r="AJ291" s="1705"/>
      <c r="AK291" s="1705"/>
      <c r="AL291" s="25"/>
      <c r="AM291" s="137"/>
      <c r="AN291" s="439"/>
      <c r="AO291" s="331"/>
    </row>
    <row r="292" spans="1:41" s="46" customFormat="1" ht="12.75" customHeight="1">
      <c r="A292" s="153"/>
      <c r="B292" s="72" t="s">
        <v>418</v>
      </c>
      <c r="C292" s="72"/>
      <c r="D292" s="72"/>
      <c r="E292" s="72"/>
      <c r="F292" s="72"/>
      <c r="G292" s="16"/>
      <c r="H292" s="1705" t="s">
        <v>2412</v>
      </c>
      <c r="I292" s="1705"/>
      <c r="J292" s="1705"/>
      <c r="K292" s="1705"/>
      <c r="L292" s="1705"/>
      <c r="M292" s="1705"/>
      <c r="N292" s="1705"/>
      <c r="O292" s="1705"/>
      <c r="P292" s="1705"/>
      <c r="Q292" s="1705"/>
      <c r="R292" s="1705"/>
      <c r="S292" s="16"/>
      <c r="T292" s="72" t="s">
        <v>418</v>
      </c>
      <c r="U292" s="16"/>
      <c r="V292" s="72"/>
      <c r="W292" s="72"/>
      <c r="X292" s="72"/>
      <c r="Y292" s="72"/>
      <c r="Z292" s="16"/>
      <c r="AA292" s="1705" t="s">
        <v>2415</v>
      </c>
      <c r="AB292" s="1705"/>
      <c r="AC292" s="1705"/>
      <c r="AD292" s="1705"/>
      <c r="AE292" s="1705"/>
      <c r="AF292" s="1705"/>
      <c r="AG292" s="1705"/>
      <c r="AH292" s="1705"/>
      <c r="AI292" s="1705"/>
      <c r="AJ292" s="1705"/>
      <c r="AK292" s="1705"/>
      <c r="AL292" s="25"/>
      <c r="AM292" s="137"/>
      <c r="AN292" s="439"/>
      <c r="AO292" s="331"/>
    </row>
    <row r="293" spans="1:41" s="46" customFormat="1" ht="12.75" customHeight="1">
      <c r="A293" s="153"/>
      <c r="B293" s="72" t="s">
        <v>419</v>
      </c>
      <c r="C293" s="72"/>
      <c r="D293" s="72"/>
      <c r="E293" s="72"/>
      <c r="F293" s="72"/>
      <c r="G293" s="72"/>
      <c r="H293" s="1789" t="s">
        <v>2418</v>
      </c>
      <c r="I293" s="1958"/>
      <c r="J293" s="1958"/>
      <c r="K293" s="1958"/>
      <c r="L293" s="1958"/>
      <c r="M293" s="1958"/>
      <c r="N293" s="8" t="s">
        <v>900</v>
      </c>
      <c r="O293" s="8"/>
      <c r="P293" s="1955"/>
      <c r="Q293" s="1955"/>
      <c r="R293" s="1955"/>
      <c r="S293" s="72"/>
      <c r="T293" s="72" t="s">
        <v>419</v>
      </c>
      <c r="U293" s="16"/>
      <c r="V293" s="72"/>
      <c r="W293" s="72"/>
      <c r="X293" s="72"/>
      <c r="Y293" s="72"/>
      <c r="Z293" s="16"/>
      <c r="AA293" s="1789" t="s">
        <v>2419</v>
      </c>
      <c r="AB293" s="1958"/>
      <c r="AC293" s="1958"/>
      <c r="AD293" s="1958"/>
      <c r="AE293" s="1958"/>
      <c r="AF293" s="1958"/>
      <c r="AG293" s="8" t="s">
        <v>900</v>
      </c>
      <c r="AH293" s="8"/>
      <c r="AI293" s="1955"/>
      <c r="AJ293" s="1955"/>
      <c r="AK293" s="1955"/>
      <c r="AL293" s="25"/>
      <c r="AM293" s="137"/>
      <c r="AN293" s="439"/>
      <c r="AO293" s="331"/>
    </row>
    <row r="294" spans="1:41" s="46" customFormat="1" ht="12.75" customHeight="1">
      <c r="A294" s="153"/>
      <c r="B294" s="72" t="s">
        <v>99</v>
      </c>
      <c r="C294" s="72"/>
      <c r="D294" s="72"/>
      <c r="E294" s="72"/>
      <c r="F294" s="72"/>
      <c r="G294" s="72"/>
      <c r="H294" s="1705" t="s">
        <v>102</v>
      </c>
      <c r="I294" s="1705"/>
      <c r="J294" s="1705"/>
      <c r="K294" s="1705"/>
      <c r="L294" s="1705"/>
      <c r="M294" s="1705"/>
      <c r="N294" s="1705"/>
      <c r="O294" s="1705"/>
      <c r="P294" s="1705"/>
      <c r="Q294" s="1705"/>
      <c r="R294" s="1705"/>
      <c r="S294" s="72"/>
      <c r="T294" s="72" t="s">
        <v>99</v>
      </c>
      <c r="U294" s="16"/>
      <c r="V294" s="72"/>
      <c r="W294" s="72"/>
      <c r="X294" s="72"/>
      <c r="Y294" s="72"/>
      <c r="Z294" s="16"/>
      <c r="AA294" s="1705" t="s">
        <v>104</v>
      </c>
      <c r="AB294" s="1705"/>
      <c r="AC294" s="1705"/>
      <c r="AD294" s="1705"/>
      <c r="AE294" s="1705"/>
      <c r="AF294" s="1705"/>
      <c r="AG294" s="1705"/>
      <c r="AH294" s="1705"/>
      <c r="AI294" s="1705"/>
      <c r="AJ294" s="1705"/>
      <c r="AK294" s="1705"/>
      <c r="AL294" s="25"/>
      <c r="AM294" s="137"/>
      <c r="AN294" s="439"/>
      <c r="AO294" s="331"/>
    </row>
    <row r="295" spans="1:41" s="46" customFormat="1" ht="12.75" customHeight="1">
      <c r="A295" s="153"/>
      <c r="B295" s="72" t="s">
        <v>101</v>
      </c>
      <c r="C295" s="72"/>
      <c r="D295" s="72"/>
      <c r="E295" s="72"/>
      <c r="F295" s="72"/>
      <c r="G295" s="72"/>
      <c r="H295" s="1706" t="s">
        <v>2417</v>
      </c>
      <c r="I295" s="1705"/>
      <c r="J295" s="1705"/>
      <c r="K295" s="1705"/>
      <c r="L295" s="1705"/>
      <c r="M295" s="1705"/>
      <c r="N295" s="1705"/>
      <c r="O295" s="1705"/>
      <c r="P295" s="1705"/>
      <c r="Q295" s="1705"/>
      <c r="R295" s="1705"/>
      <c r="S295" s="72"/>
      <c r="T295" s="72" t="s">
        <v>101</v>
      </c>
      <c r="U295" s="16"/>
      <c r="V295" s="72"/>
      <c r="W295" s="72"/>
      <c r="X295" s="72"/>
      <c r="Y295" s="72"/>
      <c r="Z295" s="16"/>
      <c r="AA295" s="1706" t="s">
        <v>2416</v>
      </c>
      <c r="AB295" s="1705"/>
      <c r="AC295" s="1705"/>
      <c r="AD295" s="1705"/>
      <c r="AE295" s="1705"/>
      <c r="AF295" s="1705"/>
      <c r="AG295" s="1705"/>
      <c r="AH295" s="1705"/>
      <c r="AI295" s="1705"/>
      <c r="AJ295" s="1705"/>
      <c r="AK295" s="1705"/>
      <c r="AL295" s="25"/>
      <c r="AM295" s="137"/>
      <c r="AN295" s="439"/>
    </row>
    <row r="296" spans="1:41" s="137" customFormat="1" ht="12.75" customHeight="1">
      <c r="A296" s="153"/>
      <c r="B296" s="72" t="s">
        <v>112</v>
      </c>
      <c r="C296" s="72"/>
      <c r="D296" s="72"/>
      <c r="E296" s="72"/>
      <c r="F296" s="72"/>
      <c r="G296" s="72"/>
      <c r="H296" s="2319">
        <v>0.01</v>
      </c>
      <c r="I296" s="2319"/>
      <c r="J296" s="2319"/>
      <c r="K296" s="2319"/>
      <c r="L296" s="2319"/>
      <c r="M296" s="2319"/>
      <c r="N296" s="2319"/>
      <c r="O296" s="2319"/>
      <c r="P296" s="2319"/>
      <c r="Q296" s="2319"/>
      <c r="R296" s="2319"/>
      <c r="S296" s="72"/>
      <c r="T296" s="72" t="s">
        <v>112</v>
      </c>
      <c r="U296" s="72"/>
      <c r="V296" s="72"/>
      <c r="W296" s="72"/>
      <c r="X296" s="72"/>
      <c r="Y296" s="72"/>
      <c r="Z296" s="18"/>
      <c r="AA296" s="2319">
        <v>0.95</v>
      </c>
      <c r="AB296" s="2319"/>
      <c r="AC296" s="2319"/>
      <c r="AD296" s="2319"/>
      <c r="AE296" s="2319"/>
      <c r="AF296" s="2319"/>
      <c r="AG296" s="2319"/>
      <c r="AH296" s="2319"/>
      <c r="AI296" s="2319"/>
      <c r="AJ296" s="2319"/>
      <c r="AK296" s="2319"/>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7" t="s">
        <v>2420</v>
      </c>
      <c r="I298" s="1697"/>
      <c r="J298" s="1697"/>
      <c r="K298" s="1697"/>
      <c r="L298" s="1697"/>
      <c r="M298" s="1697"/>
      <c r="N298" s="1697"/>
      <c r="O298" s="1697"/>
      <c r="P298" s="1697"/>
      <c r="Q298" s="1697"/>
      <c r="R298" s="1697"/>
      <c r="S298" s="16"/>
      <c r="T298" s="72" t="s">
        <v>100</v>
      </c>
      <c r="U298" s="16"/>
      <c r="V298" s="72"/>
      <c r="W298" s="72"/>
      <c r="X298" s="72"/>
      <c r="Y298" s="72"/>
      <c r="Z298" s="16"/>
      <c r="AA298" s="1697" t="s">
        <v>2425</v>
      </c>
      <c r="AB298" s="1697"/>
      <c r="AC298" s="1697"/>
      <c r="AD298" s="1697"/>
      <c r="AE298" s="1697"/>
      <c r="AF298" s="1697"/>
      <c r="AG298" s="1697"/>
      <c r="AH298" s="1697"/>
      <c r="AI298" s="1697"/>
      <c r="AJ298" s="1697"/>
      <c r="AK298" s="1697"/>
      <c r="AL298" s="25"/>
      <c r="AM298" s="137"/>
      <c r="AN298" s="439"/>
    </row>
    <row r="299" spans="1:41" s="205" customFormat="1" ht="12.75" customHeight="1">
      <c r="A299" s="153"/>
      <c r="B299" s="72" t="s">
        <v>765</v>
      </c>
      <c r="C299" s="72"/>
      <c r="D299" s="72"/>
      <c r="E299" s="72"/>
      <c r="F299" s="72"/>
      <c r="G299" s="16"/>
      <c r="H299" s="1705" t="s">
        <v>2421</v>
      </c>
      <c r="I299" s="1705"/>
      <c r="J299" s="1705"/>
      <c r="K299" s="1705"/>
      <c r="L299" s="1705"/>
      <c r="M299" s="1705"/>
      <c r="N299" s="1705"/>
      <c r="O299" s="1705"/>
      <c r="P299" s="1705"/>
      <c r="Q299" s="1705"/>
      <c r="R299" s="1705"/>
      <c r="S299" s="16"/>
      <c r="T299" s="72" t="s">
        <v>765</v>
      </c>
      <c r="U299" s="16"/>
      <c r="V299" s="72"/>
      <c r="W299" s="72"/>
      <c r="X299" s="72"/>
      <c r="Y299" s="72"/>
      <c r="Z299" s="16"/>
      <c r="AA299" s="1705" t="s">
        <v>2426</v>
      </c>
      <c r="AB299" s="1705"/>
      <c r="AC299" s="1705"/>
      <c r="AD299" s="1705"/>
      <c r="AE299" s="1705"/>
      <c r="AF299" s="1705"/>
      <c r="AG299" s="1705"/>
      <c r="AH299" s="1705"/>
      <c r="AI299" s="1705"/>
      <c r="AJ299" s="1705"/>
      <c r="AK299" s="1705"/>
      <c r="AL299" s="25"/>
      <c r="AM299" s="137"/>
      <c r="AN299" s="439"/>
      <c r="AO299" s="46"/>
    </row>
    <row r="300" spans="1:41" s="205" customFormat="1" ht="12.75" customHeight="1">
      <c r="A300" s="153"/>
      <c r="B300" s="72" t="s">
        <v>110</v>
      </c>
      <c r="C300" s="72"/>
      <c r="D300" s="72"/>
      <c r="E300" s="72"/>
      <c r="F300" s="72"/>
      <c r="G300" s="16"/>
      <c r="H300" s="1705" t="s">
        <v>2411</v>
      </c>
      <c r="I300" s="1705"/>
      <c r="J300" s="1705"/>
      <c r="K300" s="1705"/>
      <c r="L300" s="1705"/>
      <c r="M300" s="1705"/>
      <c r="N300" s="1705"/>
      <c r="O300" s="1705"/>
      <c r="P300" s="1705"/>
      <c r="Q300" s="1705"/>
      <c r="R300" s="1705"/>
      <c r="S300" s="16"/>
      <c r="T300" s="72" t="s">
        <v>110</v>
      </c>
      <c r="U300" s="16"/>
      <c r="V300" s="72"/>
      <c r="W300" s="72"/>
      <c r="X300" s="72"/>
      <c r="Y300" s="72"/>
      <c r="Z300" s="16"/>
      <c r="AA300" s="1705" t="s">
        <v>2411</v>
      </c>
      <c r="AB300" s="1705"/>
      <c r="AC300" s="1705"/>
      <c r="AD300" s="1705"/>
      <c r="AE300" s="1705"/>
      <c r="AF300" s="1705"/>
      <c r="AG300" s="1705"/>
      <c r="AH300" s="1705"/>
      <c r="AI300" s="1705"/>
      <c r="AJ300" s="1705"/>
      <c r="AK300" s="1705"/>
      <c r="AL300" s="25"/>
      <c r="AM300" s="137"/>
      <c r="AN300" s="439"/>
      <c r="AO300" s="46"/>
    </row>
    <row r="301" spans="1:41" s="46" customFormat="1" ht="12.75" customHeight="1">
      <c r="A301" s="153"/>
      <c r="B301" s="72" t="s">
        <v>418</v>
      </c>
      <c r="C301" s="72"/>
      <c r="D301" s="72"/>
      <c r="E301" s="72"/>
      <c r="F301" s="72"/>
      <c r="G301" s="16"/>
      <c r="H301" s="1705" t="s">
        <v>2422</v>
      </c>
      <c r="I301" s="1705"/>
      <c r="J301" s="1705"/>
      <c r="K301" s="1705"/>
      <c r="L301" s="1705"/>
      <c r="M301" s="1705"/>
      <c r="N301" s="1705"/>
      <c r="O301" s="1705"/>
      <c r="P301" s="1705"/>
      <c r="Q301" s="1705"/>
      <c r="R301" s="1705"/>
      <c r="S301" s="16"/>
      <c r="T301" s="72" t="s">
        <v>418</v>
      </c>
      <c r="U301" s="16"/>
      <c r="V301" s="72"/>
      <c r="W301" s="72"/>
      <c r="X301" s="72"/>
      <c r="Y301" s="72"/>
      <c r="Z301" s="16"/>
      <c r="AA301" s="1705" t="s">
        <v>2427</v>
      </c>
      <c r="AB301" s="1705"/>
      <c r="AC301" s="1705"/>
      <c r="AD301" s="1705"/>
      <c r="AE301" s="1705"/>
      <c r="AF301" s="1705"/>
      <c r="AG301" s="1705"/>
      <c r="AH301" s="1705"/>
      <c r="AI301" s="1705"/>
      <c r="AJ301" s="1705"/>
      <c r="AK301" s="1705"/>
      <c r="AL301" s="25"/>
      <c r="AM301" s="137"/>
      <c r="AN301" s="439"/>
    </row>
    <row r="302" spans="1:41" s="46" customFormat="1" ht="12.75" customHeight="1">
      <c r="A302" s="153"/>
      <c r="B302" s="72" t="s">
        <v>419</v>
      </c>
      <c r="C302" s="72"/>
      <c r="D302" s="72"/>
      <c r="E302" s="72"/>
      <c r="F302" s="72"/>
      <c r="G302" s="72"/>
      <c r="H302" s="1789" t="s">
        <v>2424</v>
      </c>
      <c r="I302" s="1958"/>
      <c r="J302" s="1958"/>
      <c r="K302" s="1958"/>
      <c r="L302" s="1958"/>
      <c r="M302" s="1958"/>
      <c r="N302" s="8" t="s">
        <v>900</v>
      </c>
      <c r="O302" s="8"/>
      <c r="P302" s="1955"/>
      <c r="Q302" s="1955"/>
      <c r="R302" s="1955"/>
      <c r="S302" s="72"/>
      <c r="T302" s="72" t="s">
        <v>419</v>
      </c>
      <c r="U302" s="16"/>
      <c r="V302" s="72"/>
      <c r="W302" s="72"/>
      <c r="X302" s="72"/>
      <c r="Y302" s="72"/>
      <c r="Z302" s="16"/>
      <c r="AA302" s="1789" t="s">
        <v>2429</v>
      </c>
      <c r="AB302" s="1789"/>
      <c r="AC302" s="1789"/>
      <c r="AD302" s="1789"/>
      <c r="AE302" s="1789"/>
      <c r="AF302" s="1789"/>
      <c r="AG302" s="8" t="s">
        <v>900</v>
      </c>
      <c r="AH302" s="8"/>
      <c r="AI302" s="1955"/>
      <c r="AJ302" s="1955"/>
      <c r="AK302" s="1955"/>
      <c r="AL302" s="25"/>
      <c r="AM302" s="137"/>
      <c r="AN302" s="439"/>
    </row>
    <row r="303" spans="1:41" s="46" customFormat="1" ht="12.75" customHeight="1">
      <c r="A303" s="153"/>
      <c r="B303" s="72" t="s">
        <v>99</v>
      </c>
      <c r="C303" s="72"/>
      <c r="D303" s="72"/>
      <c r="E303" s="72"/>
      <c r="F303" s="72"/>
      <c r="G303" s="72"/>
      <c r="H303" s="1705" t="s">
        <v>103</v>
      </c>
      <c r="I303" s="1705"/>
      <c r="J303" s="1705"/>
      <c r="K303" s="1705"/>
      <c r="L303" s="1705"/>
      <c r="M303" s="1705"/>
      <c r="N303" s="1705"/>
      <c r="O303" s="1705"/>
      <c r="P303" s="1705"/>
      <c r="Q303" s="1705"/>
      <c r="R303" s="1705"/>
      <c r="S303" s="72"/>
      <c r="T303" s="72" t="s">
        <v>99</v>
      </c>
      <c r="U303" s="16"/>
      <c r="V303" s="72"/>
      <c r="W303" s="72"/>
      <c r="X303" s="72"/>
      <c r="Y303" s="72"/>
      <c r="Z303" s="16"/>
      <c r="AA303" s="1705" t="s">
        <v>106</v>
      </c>
      <c r="AB303" s="1705"/>
      <c r="AC303" s="1705"/>
      <c r="AD303" s="1705"/>
      <c r="AE303" s="1705"/>
      <c r="AF303" s="1705"/>
      <c r="AG303" s="1705"/>
      <c r="AH303" s="1705"/>
      <c r="AI303" s="1705"/>
      <c r="AJ303" s="1705"/>
      <c r="AK303" s="1705"/>
      <c r="AL303" s="25"/>
      <c r="AM303" s="137"/>
      <c r="AN303" s="439"/>
    </row>
    <row r="304" spans="1:41" s="46" customFormat="1" ht="12.75" customHeight="1">
      <c r="A304" s="153"/>
      <c r="B304" s="72" t="s">
        <v>101</v>
      </c>
      <c r="C304" s="72"/>
      <c r="D304" s="72"/>
      <c r="E304" s="72"/>
      <c r="F304" s="72"/>
      <c r="G304" s="72"/>
      <c r="H304" s="1706" t="s">
        <v>2423</v>
      </c>
      <c r="I304" s="1705"/>
      <c r="J304" s="1705"/>
      <c r="K304" s="1705"/>
      <c r="L304" s="1705"/>
      <c r="M304" s="1705"/>
      <c r="N304" s="1705"/>
      <c r="O304" s="1705"/>
      <c r="P304" s="1705"/>
      <c r="Q304" s="1705"/>
      <c r="R304" s="1705"/>
      <c r="S304" s="72"/>
      <c r="T304" s="72" t="s">
        <v>101</v>
      </c>
      <c r="U304" s="16"/>
      <c r="V304" s="72"/>
      <c r="W304" s="72"/>
      <c r="X304" s="72"/>
      <c r="Y304" s="72"/>
      <c r="Z304" s="16"/>
      <c r="AA304" s="1706" t="s">
        <v>2428</v>
      </c>
      <c r="AB304" s="1705"/>
      <c r="AC304" s="1705"/>
      <c r="AD304" s="1705"/>
      <c r="AE304" s="1705"/>
      <c r="AF304" s="1705"/>
      <c r="AG304" s="1705"/>
      <c r="AH304" s="1705"/>
      <c r="AI304" s="1705"/>
      <c r="AJ304" s="1705"/>
      <c r="AK304" s="1705"/>
      <c r="AL304" s="25"/>
      <c r="AM304" s="137"/>
      <c r="AN304" s="439"/>
    </row>
    <row r="305" spans="1:40" s="46" customFormat="1" ht="12.75" customHeight="1">
      <c r="A305" s="153"/>
      <c r="B305" s="72" t="s">
        <v>112</v>
      </c>
      <c r="C305" s="72"/>
      <c r="D305" s="72"/>
      <c r="E305" s="72"/>
      <c r="F305" s="72"/>
      <c r="G305" s="72"/>
      <c r="H305" s="2319">
        <v>0.49</v>
      </c>
      <c r="I305" s="2319"/>
      <c r="J305" s="2319"/>
      <c r="K305" s="2319"/>
      <c r="L305" s="2319"/>
      <c r="M305" s="2319"/>
      <c r="N305" s="2319"/>
      <c r="O305" s="2319"/>
      <c r="P305" s="2319"/>
      <c r="Q305" s="2319"/>
      <c r="R305" s="2319"/>
      <c r="S305" s="72"/>
      <c r="T305" s="72" t="s">
        <v>112</v>
      </c>
      <c r="U305" s="72"/>
      <c r="V305" s="72"/>
      <c r="W305" s="72"/>
      <c r="X305" s="72"/>
      <c r="Y305" s="72"/>
      <c r="Z305" s="18"/>
      <c r="AA305" s="2319">
        <v>0.49</v>
      </c>
      <c r="AB305" s="2319"/>
      <c r="AC305" s="2319"/>
      <c r="AD305" s="2319"/>
      <c r="AE305" s="2319"/>
      <c r="AF305" s="2319"/>
      <c r="AG305" s="2319"/>
      <c r="AH305" s="2319"/>
      <c r="AI305" s="2319"/>
      <c r="AJ305" s="2319"/>
      <c r="AK305" s="231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7" t="s">
        <v>2435</v>
      </c>
      <c r="I307" s="1697"/>
      <c r="J307" s="1697"/>
      <c r="K307" s="1697"/>
      <c r="L307" s="1697"/>
      <c r="M307" s="1697"/>
      <c r="N307" s="1697"/>
      <c r="O307" s="1697"/>
      <c r="P307" s="1697"/>
      <c r="Q307" s="1697"/>
      <c r="R307" s="1697"/>
      <c r="S307" s="16"/>
      <c r="T307" s="72" t="s">
        <v>100</v>
      </c>
      <c r="U307" s="16"/>
      <c r="V307" s="72"/>
      <c r="W307" s="72"/>
      <c r="X307" s="72"/>
      <c r="Y307" s="72"/>
      <c r="Z307" s="16"/>
      <c r="AA307" s="1697" t="s">
        <v>2430</v>
      </c>
      <c r="AB307" s="1697"/>
      <c r="AC307" s="1697"/>
      <c r="AD307" s="1697"/>
      <c r="AE307" s="1697"/>
      <c r="AF307" s="1697"/>
      <c r="AG307" s="1697"/>
      <c r="AH307" s="1697"/>
      <c r="AI307" s="1697"/>
      <c r="AJ307" s="1697"/>
      <c r="AK307" s="1697"/>
      <c r="AL307" s="25"/>
      <c r="AM307" s="137"/>
      <c r="AN307" s="439"/>
    </row>
    <row r="308" spans="1:40" s="46" customFormat="1" ht="12.75" customHeight="1">
      <c r="A308" s="153"/>
      <c r="B308" s="72" t="s">
        <v>765</v>
      </c>
      <c r="C308" s="72"/>
      <c r="D308" s="72"/>
      <c r="E308" s="72"/>
      <c r="F308" s="72"/>
      <c r="G308" s="16"/>
      <c r="H308" s="1705" t="s">
        <v>2436</v>
      </c>
      <c r="I308" s="1705"/>
      <c r="J308" s="1705"/>
      <c r="K308" s="1705"/>
      <c r="L308" s="1705"/>
      <c r="M308" s="1705"/>
      <c r="N308" s="1705"/>
      <c r="O308" s="1705"/>
      <c r="P308" s="1705"/>
      <c r="Q308" s="1705"/>
      <c r="R308" s="1705"/>
      <c r="S308" s="16"/>
      <c r="T308" s="72" t="s">
        <v>765</v>
      </c>
      <c r="U308" s="16"/>
      <c r="V308" s="72"/>
      <c r="W308" s="72"/>
      <c r="X308" s="72"/>
      <c r="Y308" s="72"/>
      <c r="Z308" s="16"/>
      <c r="AA308" s="1705" t="s">
        <v>2431</v>
      </c>
      <c r="AB308" s="1705"/>
      <c r="AC308" s="1705"/>
      <c r="AD308" s="1705"/>
      <c r="AE308" s="1705"/>
      <c r="AF308" s="1705"/>
      <c r="AG308" s="1705"/>
      <c r="AH308" s="1705"/>
      <c r="AI308" s="1705"/>
      <c r="AJ308" s="1705"/>
      <c r="AK308" s="1705"/>
      <c r="AL308" s="25"/>
      <c r="AM308" s="137"/>
      <c r="AN308" s="439"/>
    </row>
    <row r="309" spans="1:40" s="46" customFormat="1" ht="12.75" customHeight="1">
      <c r="A309" s="153"/>
      <c r="B309" s="72" t="s">
        <v>110</v>
      </c>
      <c r="C309" s="72"/>
      <c r="D309" s="72"/>
      <c r="E309" s="72"/>
      <c r="F309" s="72"/>
      <c r="G309" s="16"/>
      <c r="H309" s="1705" t="s">
        <v>2411</v>
      </c>
      <c r="I309" s="1705"/>
      <c r="J309" s="1705"/>
      <c r="K309" s="1705"/>
      <c r="L309" s="1705"/>
      <c r="M309" s="1705"/>
      <c r="N309" s="1705"/>
      <c r="O309" s="1705"/>
      <c r="P309" s="1705"/>
      <c r="Q309" s="1705"/>
      <c r="R309" s="1705"/>
      <c r="S309" s="16"/>
      <c r="T309" s="72" t="s">
        <v>110</v>
      </c>
      <c r="U309" s="16"/>
      <c r="V309" s="72"/>
      <c r="W309" s="72"/>
      <c r="X309" s="72"/>
      <c r="Y309" s="72"/>
      <c r="Z309" s="16"/>
      <c r="AA309" s="1705" t="s">
        <v>2411</v>
      </c>
      <c r="AB309" s="1705"/>
      <c r="AC309" s="1705"/>
      <c r="AD309" s="1705"/>
      <c r="AE309" s="1705"/>
      <c r="AF309" s="1705"/>
      <c r="AG309" s="1705"/>
      <c r="AH309" s="1705"/>
      <c r="AI309" s="1705"/>
      <c r="AJ309" s="1705"/>
      <c r="AK309" s="1705"/>
      <c r="AL309" s="25"/>
      <c r="AM309" s="137"/>
      <c r="AN309" s="439"/>
    </row>
    <row r="310" spans="1:40" s="46" customFormat="1" ht="12.75" customHeight="1">
      <c r="A310" s="153"/>
      <c r="B310" s="72" t="s">
        <v>418</v>
      </c>
      <c r="C310" s="72"/>
      <c r="D310" s="72"/>
      <c r="E310" s="72"/>
      <c r="F310" s="72"/>
      <c r="G310" s="16"/>
      <c r="H310" s="1705" t="s">
        <v>2432</v>
      </c>
      <c r="I310" s="1705"/>
      <c r="J310" s="1705"/>
      <c r="K310" s="1705"/>
      <c r="L310" s="1705"/>
      <c r="M310" s="1705"/>
      <c r="N310" s="1705"/>
      <c r="O310" s="1705"/>
      <c r="P310" s="1705"/>
      <c r="Q310" s="1705"/>
      <c r="R310" s="1705"/>
      <c r="S310" s="16"/>
      <c r="T310" s="72" t="s">
        <v>418</v>
      </c>
      <c r="U310" s="16"/>
      <c r="V310" s="72"/>
      <c r="W310" s="72"/>
      <c r="X310" s="72"/>
      <c r="Y310" s="72"/>
      <c r="Z310" s="16"/>
      <c r="AA310" s="1705" t="s">
        <v>2432</v>
      </c>
      <c r="AB310" s="1705"/>
      <c r="AC310" s="1705"/>
      <c r="AD310" s="1705"/>
      <c r="AE310" s="1705"/>
      <c r="AF310" s="1705"/>
      <c r="AG310" s="1705"/>
      <c r="AH310" s="1705"/>
      <c r="AI310" s="1705"/>
      <c r="AJ310" s="1705"/>
      <c r="AK310" s="1705"/>
      <c r="AL310" s="25"/>
      <c r="AM310" s="137"/>
      <c r="AN310" s="439"/>
    </row>
    <row r="311" spans="1:40" s="46" customFormat="1" ht="12.75" customHeight="1">
      <c r="A311" s="153"/>
      <c r="B311" s="72" t="s">
        <v>419</v>
      </c>
      <c r="C311" s="72"/>
      <c r="D311" s="72"/>
      <c r="E311" s="72"/>
      <c r="F311" s="72"/>
      <c r="G311" s="72"/>
      <c r="H311" s="1789" t="s">
        <v>2438</v>
      </c>
      <c r="I311" s="1789"/>
      <c r="J311" s="1789"/>
      <c r="K311" s="1789"/>
      <c r="L311" s="1789"/>
      <c r="M311" s="1789"/>
      <c r="N311" s="8" t="s">
        <v>900</v>
      </c>
      <c r="O311" s="8"/>
      <c r="P311" s="1955"/>
      <c r="Q311" s="1955"/>
      <c r="R311" s="1955"/>
      <c r="S311" s="72"/>
      <c r="T311" s="72" t="s">
        <v>419</v>
      </c>
      <c r="U311" s="16"/>
      <c r="V311" s="72"/>
      <c r="W311" s="72"/>
      <c r="X311" s="72"/>
      <c r="Y311" s="72"/>
      <c r="Z311" s="16"/>
      <c r="AA311" s="1789" t="s">
        <v>2434</v>
      </c>
      <c r="AB311" s="1789"/>
      <c r="AC311" s="1789"/>
      <c r="AD311" s="1789"/>
      <c r="AE311" s="1789"/>
      <c r="AF311" s="1789"/>
      <c r="AG311" s="8" t="s">
        <v>900</v>
      </c>
      <c r="AH311" s="8"/>
      <c r="AI311" s="1955"/>
      <c r="AJ311" s="1955"/>
      <c r="AK311" s="1955"/>
      <c r="AL311" s="25"/>
      <c r="AM311" s="137"/>
      <c r="AN311" s="439"/>
    </row>
    <row r="312" spans="1:40" s="46" customFormat="1" ht="12.75" customHeight="1">
      <c r="A312" s="153"/>
      <c r="B312" s="72" t="s">
        <v>99</v>
      </c>
      <c r="C312" s="72"/>
      <c r="D312" s="72"/>
      <c r="E312" s="72"/>
      <c r="F312" s="72"/>
      <c r="G312" s="72"/>
      <c r="H312" s="1705" t="s">
        <v>388</v>
      </c>
      <c r="I312" s="1705"/>
      <c r="J312" s="1705"/>
      <c r="K312" s="1705"/>
      <c r="L312" s="1705"/>
      <c r="M312" s="1705"/>
      <c r="N312" s="1705"/>
      <c r="O312" s="1705"/>
      <c r="P312" s="1705"/>
      <c r="Q312" s="1705"/>
      <c r="R312" s="1705"/>
      <c r="S312" s="72"/>
      <c r="T312" s="72" t="s">
        <v>99</v>
      </c>
      <c r="U312" s="16"/>
      <c r="V312" s="72"/>
      <c r="W312" s="72"/>
      <c r="X312" s="72"/>
      <c r="Y312" s="72"/>
      <c r="Z312" s="16"/>
      <c r="AA312" s="1705" t="s">
        <v>107</v>
      </c>
      <c r="AB312" s="1705"/>
      <c r="AC312" s="1705"/>
      <c r="AD312" s="1705"/>
      <c r="AE312" s="1705"/>
      <c r="AF312" s="1705"/>
      <c r="AG312" s="1705"/>
      <c r="AH312" s="1705"/>
      <c r="AI312" s="1705"/>
      <c r="AJ312" s="1705"/>
      <c r="AK312" s="1705"/>
      <c r="AL312" s="25"/>
      <c r="AM312" s="137"/>
      <c r="AN312" s="439"/>
    </row>
    <row r="313" spans="1:40" s="46" customFormat="1" ht="12.75" customHeight="1">
      <c r="A313" s="153"/>
      <c r="B313" s="72" t="s">
        <v>101</v>
      </c>
      <c r="C313" s="72"/>
      <c r="D313" s="72"/>
      <c r="E313" s="72"/>
      <c r="F313" s="72"/>
      <c r="G313" s="72"/>
      <c r="H313" s="1706" t="s">
        <v>2437</v>
      </c>
      <c r="I313" s="1705"/>
      <c r="J313" s="1705"/>
      <c r="K313" s="1705"/>
      <c r="L313" s="1705"/>
      <c r="M313" s="1705"/>
      <c r="N313" s="1705"/>
      <c r="O313" s="1705"/>
      <c r="P313" s="1705"/>
      <c r="Q313" s="1705"/>
      <c r="R313" s="1705"/>
      <c r="S313" s="72"/>
      <c r="T313" s="72" t="s">
        <v>101</v>
      </c>
      <c r="U313" s="16"/>
      <c r="V313" s="72"/>
      <c r="W313" s="72"/>
      <c r="X313" s="72"/>
      <c r="Y313" s="72"/>
      <c r="Z313" s="16"/>
      <c r="AA313" s="1706" t="s">
        <v>2433</v>
      </c>
      <c r="AB313" s="1705"/>
      <c r="AC313" s="1705"/>
      <c r="AD313" s="1705"/>
      <c r="AE313" s="1705"/>
      <c r="AF313" s="1705"/>
      <c r="AG313" s="1705"/>
      <c r="AH313" s="1705"/>
      <c r="AI313" s="1705"/>
      <c r="AJ313" s="1705"/>
      <c r="AK313" s="1705"/>
      <c r="AL313" s="25"/>
      <c r="AM313" s="137"/>
      <c r="AN313" s="439"/>
    </row>
    <row r="314" spans="1:40" s="46" customFormat="1" ht="12.75" customHeight="1">
      <c r="A314" s="153"/>
      <c r="B314" s="72" t="s">
        <v>112</v>
      </c>
      <c r="C314" s="72"/>
      <c r="D314" s="72"/>
      <c r="E314" s="72"/>
      <c r="F314" s="72"/>
      <c r="G314" s="72"/>
      <c r="H314" s="2319">
        <v>0.39</v>
      </c>
      <c r="I314" s="2319"/>
      <c r="J314" s="2319"/>
      <c r="K314" s="2319"/>
      <c r="L314" s="2319"/>
      <c r="M314" s="2319"/>
      <c r="N314" s="2319"/>
      <c r="O314" s="2319"/>
      <c r="P314" s="2319"/>
      <c r="Q314" s="2319"/>
      <c r="R314" s="2319"/>
      <c r="S314" s="72"/>
      <c r="T314" s="72" t="s">
        <v>112</v>
      </c>
      <c r="U314" s="72"/>
      <c r="V314" s="72"/>
      <c r="W314" s="72"/>
      <c r="X314" s="72"/>
      <c r="Y314" s="72"/>
      <c r="Z314" s="18"/>
      <c r="AA314" s="2319">
        <v>0.17</v>
      </c>
      <c r="AB314" s="2319"/>
      <c r="AC314" s="2319"/>
      <c r="AD314" s="2319"/>
      <c r="AE314" s="2319"/>
      <c r="AF314" s="2319"/>
      <c r="AG314" s="2319"/>
      <c r="AH314" s="2319"/>
      <c r="AI314" s="2319"/>
      <c r="AJ314" s="2319"/>
      <c r="AK314" s="231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7" t="s">
        <v>2439</v>
      </c>
      <c r="I316" s="1697"/>
      <c r="J316" s="1697"/>
      <c r="K316" s="1697"/>
      <c r="L316" s="1697"/>
      <c r="M316" s="1697"/>
      <c r="N316" s="1697"/>
      <c r="O316" s="1697"/>
      <c r="P316" s="1697"/>
      <c r="Q316" s="1697"/>
      <c r="R316" s="1697"/>
      <c r="S316" s="16"/>
      <c r="T316" s="72" t="s">
        <v>100</v>
      </c>
      <c r="U316" s="16"/>
      <c r="V316" s="72"/>
      <c r="W316" s="72"/>
      <c r="X316" s="72"/>
      <c r="Y316" s="72"/>
      <c r="Z316" s="16"/>
      <c r="AA316" s="1697"/>
      <c r="AB316" s="1697"/>
      <c r="AC316" s="1697"/>
      <c r="AD316" s="1697"/>
      <c r="AE316" s="1697"/>
      <c r="AF316" s="1697"/>
      <c r="AG316" s="1697"/>
      <c r="AH316" s="1697"/>
      <c r="AI316" s="1697"/>
      <c r="AJ316" s="1697"/>
      <c r="AK316" s="1697"/>
      <c r="AL316" s="25"/>
      <c r="AM316" s="137"/>
      <c r="AN316" s="439"/>
    </row>
    <row r="317" spans="1:40" s="46" customFormat="1" ht="12.75" customHeight="1">
      <c r="A317" s="153"/>
      <c r="B317" s="72" t="s">
        <v>765</v>
      </c>
      <c r="C317" s="72"/>
      <c r="D317" s="72"/>
      <c r="E317" s="72"/>
      <c r="F317" s="72"/>
      <c r="G317" s="16"/>
      <c r="H317" s="1705" t="s">
        <v>2440</v>
      </c>
      <c r="I317" s="1705"/>
      <c r="J317" s="1705"/>
      <c r="K317" s="1705"/>
      <c r="L317" s="1705"/>
      <c r="M317" s="1705"/>
      <c r="N317" s="1705"/>
      <c r="O317" s="1705"/>
      <c r="P317" s="1705"/>
      <c r="Q317" s="1705"/>
      <c r="R317" s="1705"/>
      <c r="S317" s="16"/>
      <c r="T317" s="72" t="s">
        <v>765</v>
      </c>
      <c r="U317" s="16"/>
      <c r="V317" s="72"/>
      <c r="W317" s="72"/>
      <c r="X317" s="72"/>
      <c r="Y317" s="72"/>
      <c r="Z317" s="16"/>
      <c r="AA317" s="1705"/>
      <c r="AB317" s="1705"/>
      <c r="AC317" s="1705"/>
      <c r="AD317" s="1705"/>
      <c r="AE317" s="1705"/>
      <c r="AF317" s="1705"/>
      <c r="AG317" s="1705"/>
      <c r="AH317" s="1705"/>
      <c r="AI317" s="1705"/>
      <c r="AJ317" s="1705"/>
      <c r="AK317" s="1705"/>
      <c r="AL317" s="25"/>
      <c r="AM317" s="137"/>
      <c r="AN317" s="439"/>
    </row>
    <row r="318" spans="1:40" s="46" customFormat="1" ht="12.75" customHeight="1">
      <c r="A318" s="153"/>
      <c r="B318" s="72" t="s">
        <v>110</v>
      </c>
      <c r="C318" s="72"/>
      <c r="D318" s="72"/>
      <c r="E318" s="72"/>
      <c r="F318" s="72"/>
      <c r="G318" s="16"/>
      <c r="H318" s="1705" t="s">
        <v>2411</v>
      </c>
      <c r="I318" s="1705"/>
      <c r="J318" s="1705"/>
      <c r="K318" s="1705"/>
      <c r="L318" s="1705"/>
      <c r="M318" s="1705"/>
      <c r="N318" s="1705"/>
      <c r="O318" s="1705"/>
      <c r="P318" s="1705"/>
      <c r="Q318" s="1705"/>
      <c r="R318" s="1705"/>
      <c r="S318" s="16"/>
      <c r="T318" s="72" t="s">
        <v>110</v>
      </c>
      <c r="U318" s="16"/>
      <c r="V318" s="72"/>
      <c r="W318" s="72"/>
      <c r="X318" s="72"/>
      <c r="Y318" s="72"/>
      <c r="Z318" s="16"/>
      <c r="AA318" s="1705"/>
      <c r="AB318" s="1705"/>
      <c r="AC318" s="1705"/>
      <c r="AD318" s="1705"/>
      <c r="AE318" s="1705"/>
      <c r="AF318" s="1705"/>
      <c r="AG318" s="1705"/>
      <c r="AH318" s="1705"/>
      <c r="AI318" s="1705"/>
      <c r="AJ318" s="1705"/>
      <c r="AK318" s="1705"/>
      <c r="AL318" s="25"/>
      <c r="AM318" s="137"/>
      <c r="AN318" s="439"/>
    </row>
    <row r="319" spans="1:40" s="46" customFormat="1" ht="12.75" customHeight="1">
      <c r="A319" s="153"/>
      <c r="B319" s="72" t="s">
        <v>418</v>
      </c>
      <c r="C319" s="72"/>
      <c r="D319" s="72"/>
      <c r="E319" s="72"/>
      <c r="F319" s="72"/>
      <c r="G319" s="16"/>
      <c r="H319" s="1705" t="s">
        <v>2441</v>
      </c>
      <c r="I319" s="1705"/>
      <c r="J319" s="1705"/>
      <c r="K319" s="1705"/>
      <c r="L319" s="1705"/>
      <c r="M319" s="1705"/>
      <c r="N319" s="1705"/>
      <c r="O319" s="1705"/>
      <c r="P319" s="1705"/>
      <c r="Q319" s="1705"/>
      <c r="R319" s="1705"/>
      <c r="S319" s="16"/>
      <c r="T319" s="72" t="s">
        <v>418</v>
      </c>
      <c r="U319" s="16"/>
      <c r="V319" s="72"/>
      <c r="W319" s="72"/>
      <c r="X319" s="72"/>
      <c r="Y319" s="72"/>
      <c r="Z319" s="16"/>
      <c r="AA319" s="1705"/>
      <c r="AB319" s="1705"/>
      <c r="AC319" s="1705"/>
      <c r="AD319" s="1705"/>
      <c r="AE319" s="1705"/>
      <c r="AF319" s="1705"/>
      <c r="AG319" s="1705"/>
      <c r="AH319" s="1705"/>
      <c r="AI319" s="1705"/>
      <c r="AJ319" s="1705"/>
      <c r="AK319" s="1705"/>
      <c r="AL319" s="25"/>
      <c r="AM319" s="137"/>
      <c r="AN319" s="439"/>
    </row>
    <row r="320" spans="1:40" s="46" customFormat="1" ht="12.75" customHeight="1">
      <c r="A320" s="153"/>
      <c r="B320" s="72" t="s">
        <v>419</v>
      </c>
      <c r="C320" s="72"/>
      <c r="D320" s="72"/>
      <c r="E320" s="72"/>
      <c r="F320" s="72"/>
      <c r="G320" s="72"/>
      <c r="H320" s="1958"/>
      <c r="I320" s="1958"/>
      <c r="J320" s="1958"/>
      <c r="K320" s="1958"/>
      <c r="L320" s="1958"/>
      <c r="M320" s="1958"/>
      <c r="N320" s="8" t="s">
        <v>900</v>
      </c>
      <c r="O320" s="8"/>
      <c r="P320" s="1955"/>
      <c r="Q320" s="1955"/>
      <c r="R320" s="1955"/>
      <c r="S320" s="72"/>
      <c r="T320" s="72" t="s">
        <v>419</v>
      </c>
      <c r="U320" s="16"/>
      <c r="V320" s="72"/>
      <c r="W320" s="72"/>
      <c r="X320" s="72"/>
      <c r="Y320" s="72"/>
      <c r="Z320" s="16"/>
      <c r="AA320" s="1958"/>
      <c r="AB320" s="1958"/>
      <c r="AC320" s="1958"/>
      <c r="AD320" s="1958"/>
      <c r="AE320" s="1958"/>
      <c r="AF320" s="1958"/>
      <c r="AG320" s="8" t="s">
        <v>900</v>
      </c>
      <c r="AH320" s="8"/>
      <c r="AI320" s="1955"/>
      <c r="AJ320" s="1955"/>
      <c r="AK320" s="1955"/>
      <c r="AL320" s="25"/>
      <c r="AM320" s="137"/>
      <c r="AN320" s="439"/>
    </row>
    <row r="321" spans="1:76" s="46" customFormat="1" ht="12.75" customHeight="1">
      <c r="A321" s="153"/>
      <c r="B321" s="72" t="s">
        <v>99</v>
      </c>
      <c r="C321" s="72"/>
      <c r="D321" s="72"/>
      <c r="E321" s="72"/>
      <c r="F321" s="72"/>
      <c r="G321" s="72"/>
      <c r="H321" s="1705" t="s">
        <v>111</v>
      </c>
      <c r="I321" s="1705"/>
      <c r="J321" s="1705"/>
      <c r="K321" s="1705"/>
      <c r="L321" s="1705"/>
      <c r="M321" s="1705"/>
      <c r="N321" s="1705"/>
      <c r="O321" s="1705"/>
      <c r="P321" s="1705"/>
      <c r="Q321" s="1705"/>
      <c r="R321" s="1705"/>
      <c r="S321" s="72"/>
      <c r="T321" s="72" t="s">
        <v>99</v>
      </c>
      <c r="U321" s="16"/>
      <c r="V321" s="72"/>
      <c r="W321" s="72"/>
      <c r="X321" s="72"/>
      <c r="Y321" s="72"/>
      <c r="Z321" s="16"/>
      <c r="AA321" s="1705"/>
      <c r="AB321" s="1705"/>
      <c r="AC321" s="1705"/>
      <c r="AD321" s="1705"/>
      <c r="AE321" s="1705"/>
      <c r="AF321" s="1705"/>
      <c r="AG321" s="1705"/>
      <c r="AH321" s="1705"/>
      <c r="AI321" s="1705"/>
      <c r="AJ321" s="1705"/>
      <c r="AK321" s="1705"/>
      <c r="AL321" s="25"/>
      <c r="AM321" s="137"/>
      <c r="AN321" s="439"/>
    </row>
    <row r="322" spans="1:76" s="46" customFormat="1" ht="12.75" customHeight="1">
      <c r="A322" s="153"/>
      <c r="B322" s="72" t="s">
        <v>101</v>
      </c>
      <c r="C322" s="72"/>
      <c r="D322" s="72"/>
      <c r="E322" s="72"/>
      <c r="F322" s="72"/>
      <c r="G322" s="72"/>
      <c r="H322" s="1706" t="s">
        <v>2442</v>
      </c>
      <c r="I322" s="1705"/>
      <c r="J322" s="1705"/>
      <c r="K322" s="1705"/>
      <c r="L322" s="1705"/>
      <c r="M322" s="1705"/>
      <c r="N322" s="1705"/>
      <c r="O322" s="1705"/>
      <c r="P322" s="1705"/>
      <c r="Q322" s="1705"/>
      <c r="R322" s="1705"/>
      <c r="S322" s="72"/>
      <c r="T322" s="72" t="s">
        <v>101</v>
      </c>
      <c r="U322" s="16"/>
      <c r="V322" s="72"/>
      <c r="W322" s="72"/>
      <c r="X322" s="72"/>
      <c r="Y322" s="72"/>
      <c r="Z322" s="16"/>
      <c r="AA322" s="1705"/>
      <c r="AB322" s="1705"/>
      <c r="AC322" s="1705"/>
      <c r="AD322" s="1705"/>
      <c r="AE322" s="1705"/>
      <c r="AF322" s="1705"/>
      <c r="AG322" s="1705"/>
      <c r="AH322" s="1705"/>
      <c r="AI322" s="1705"/>
      <c r="AJ322" s="1705"/>
      <c r="AK322" s="1705"/>
      <c r="AL322" s="25"/>
      <c r="AM322" s="137"/>
      <c r="AN322" s="439"/>
    </row>
    <row r="323" spans="1:76" s="46" customFormat="1" ht="12.75" customHeight="1">
      <c r="A323" s="153"/>
      <c r="B323" s="72" t="s">
        <v>112</v>
      </c>
      <c r="C323" s="72"/>
      <c r="D323" s="72"/>
      <c r="E323" s="72"/>
      <c r="F323" s="72"/>
      <c r="G323" s="72"/>
      <c r="H323" s="2319">
        <v>0.92</v>
      </c>
      <c r="I323" s="2319"/>
      <c r="J323" s="2319"/>
      <c r="K323" s="2319"/>
      <c r="L323" s="2319"/>
      <c r="M323" s="2319"/>
      <c r="N323" s="2319"/>
      <c r="O323" s="2319"/>
      <c r="P323" s="2319"/>
      <c r="Q323" s="2319"/>
      <c r="R323" s="2319"/>
      <c r="S323" s="72"/>
      <c r="T323" s="72" t="s">
        <v>112</v>
      </c>
      <c r="U323" s="72"/>
      <c r="V323" s="72"/>
      <c r="W323" s="72"/>
      <c r="X323" s="72"/>
      <c r="Y323" s="72"/>
      <c r="Z323" s="18"/>
      <c r="AA323" s="2319"/>
      <c r="AB323" s="2319"/>
      <c r="AC323" s="2319"/>
      <c r="AD323" s="2319"/>
      <c r="AE323" s="2319"/>
      <c r="AF323" s="2319"/>
      <c r="AG323" s="2319"/>
      <c r="AH323" s="2319"/>
      <c r="AI323" s="2319"/>
      <c r="AJ323" s="2319"/>
      <c r="AK323" s="231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7"/>
      <c r="I325" s="1697"/>
      <c r="J325" s="1697"/>
      <c r="K325" s="1697"/>
      <c r="L325" s="1697"/>
      <c r="M325" s="1697"/>
      <c r="N325" s="1697"/>
      <c r="O325" s="1697"/>
      <c r="P325" s="1697"/>
      <c r="Q325" s="1697"/>
      <c r="R325" s="1697"/>
      <c r="S325" s="16"/>
      <c r="T325" s="72" t="s">
        <v>100</v>
      </c>
      <c r="U325" s="16"/>
      <c r="V325" s="72"/>
      <c r="W325" s="72"/>
      <c r="X325" s="72"/>
      <c r="Y325" s="72"/>
      <c r="Z325" s="16"/>
      <c r="AA325" s="1697"/>
      <c r="AB325" s="1697"/>
      <c r="AC325" s="1697"/>
      <c r="AD325" s="1697"/>
      <c r="AE325" s="1697"/>
      <c r="AF325" s="1697"/>
      <c r="AG325" s="1697"/>
      <c r="AH325" s="1697"/>
      <c r="AI325" s="1697"/>
      <c r="AJ325" s="1697"/>
      <c r="AK325" s="1697"/>
      <c r="AL325" s="327"/>
      <c r="AM325" s="137"/>
      <c r="AN325" s="439"/>
    </row>
    <row r="326" spans="1:76" s="46" customFormat="1" ht="12.75" customHeight="1">
      <c r="A326" s="153"/>
      <c r="B326" s="72" t="s">
        <v>765</v>
      </c>
      <c r="C326" s="72"/>
      <c r="D326" s="72"/>
      <c r="E326" s="72"/>
      <c r="F326" s="72"/>
      <c r="G326" s="16"/>
      <c r="H326" s="1705"/>
      <c r="I326" s="1705"/>
      <c r="J326" s="1705"/>
      <c r="K326" s="1705"/>
      <c r="L326" s="1705"/>
      <c r="M326" s="1705"/>
      <c r="N326" s="1705"/>
      <c r="O326" s="1705"/>
      <c r="P326" s="1705"/>
      <c r="Q326" s="1705"/>
      <c r="R326" s="1705"/>
      <c r="S326" s="16"/>
      <c r="T326" s="72" t="s">
        <v>765</v>
      </c>
      <c r="U326" s="16"/>
      <c r="V326" s="72"/>
      <c r="W326" s="72"/>
      <c r="X326" s="72"/>
      <c r="Y326" s="72"/>
      <c r="Z326" s="16"/>
      <c r="AA326" s="1705"/>
      <c r="AB326" s="1705"/>
      <c r="AC326" s="1705"/>
      <c r="AD326" s="1705"/>
      <c r="AE326" s="1705"/>
      <c r="AF326" s="1705"/>
      <c r="AG326" s="1705"/>
      <c r="AH326" s="1705"/>
      <c r="AI326" s="1705"/>
      <c r="AJ326" s="1705"/>
      <c r="AK326" s="1705"/>
      <c r="AL326" s="327"/>
      <c r="AM326" s="137"/>
      <c r="AN326" s="439"/>
    </row>
    <row r="327" spans="1:76" s="46" customFormat="1" ht="18" customHeight="1">
      <c r="A327" s="153"/>
      <c r="B327" s="72" t="s">
        <v>110</v>
      </c>
      <c r="C327" s="72"/>
      <c r="D327" s="72"/>
      <c r="E327" s="72"/>
      <c r="F327" s="72"/>
      <c r="G327" s="16"/>
      <c r="H327" s="1705"/>
      <c r="I327" s="1705"/>
      <c r="J327" s="1705"/>
      <c r="K327" s="1705"/>
      <c r="L327" s="1705"/>
      <c r="M327" s="1705"/>
      <c r="N327" s="1705"/>
      <c r="O327" s="1705"/>
      <c r="P327" s="1705"/>
      <c r="Q327" s="1705"/>
      <c r="R327" s="1705"/>
      <c r="S327" s="16"/>
      <c r="T327" s="72" t="s">
        <v>110</v>
      </c>
      <c r="U327" s="16"/>
      <c r="V327" s="72"/>
      <c r="W327" s="72"/>
      <c r="X327" s="72"/>
      <c r="Y327" s="72"/>
      <c r="Z327" s="16"/>
      <c r="AA327" s="1705"/>
      <c r="AB327" s="1705"/>
      <c r="AC327" s="1705"/>
      <c r="AD327" s="1705"/>
      <c r="AE327" s="1705"/>
      <c r="AF327" s="1705"/>
      <c r="AG327" s="1705"/>
      <c r="AH327" s="1705"/>
      <c r="AI327" s="1705"/>
      <c r="AJ327" s="1705"/>
      <c r="AK327" s="1705"/>
      <c r="AL327" s="327"/>
      <c r="AM327" s="137"/>
      <c r="AN327" s="439"/>
    </row>
    <row r="328" spans="1:76" s="46" customFormat="1" ht="12.75" customHeight="1">
      <c r="A328" s="153"/>
      <c r="B328" s="72" t="s">
        <v>418</v>
      </c>
      <c r="C328" s="72"/>
      <c r="D328" s="72"/>
      <c r="E328" s="72"/>
      <c r="F328" s="72"/>
      <c r="G328" s="16"/>
      <c r="H328" s="1705"/>
      <c r="I328" s="1705"/>
      <c r="J328" s="1705"/>
      <c r="K328" s="1705"/>
      <c r="L328" s="1705"/>
      <c r="M328" s="1705"/>
      <c r="N328" s="1705"/>
      <c r="O328" s="1705"/>
      <c r="P328" s="1705"/>
      <c r="Q328" s="1705"/>
      <c r="R328" s="1705"/>
      <c r="S328" s="16"/>
      <c r="T328" s="72" t="s">
        <v>418</v>
      </c>
      <c r="U328" s="16"/>
      <c r="V328" s="72"/>
      <c r="W328" s="72"/>
      <c r="X328" s="72"/>
      <c r="Y328" s="72"/>
      <c r="Z328" s="16"/>
      <c r="AA328" s="1705"/>
      <c r="AB328" s="1705"/>
      <c r="AC328" s="1705"/>
      <c r="AD328" s="1705"/>
      <c r="AE328" s="1705"/>
      <c r="AF328" s="1705"/>
      <c r="AG328" s="1705"/>
      <c r="AH328" s="1705"/>
      <c r="AI328" s="1705"/>
      <c r="AJ328" s="1705"/>
      <c r="AK328" s="1705"/>
      <c r="AL328" s="327"/>
      <c r="AM328" s="137"/>
      <c r="AN328" s="439"/>
    </row>
    <row r="329" spans="1:76" s="46" customFormat="1" ht="12.75" customHeight="1">
      <c r="A329" s="153"/>
      <c r="B329" s="72" t="s">
        <v>419</v>
      </c>
      <c r="C329" s="72"/>
      <c r="D329" s="72"/>
      <c r="E329" s="72"/>
      <c r="F329" s="72"/>
      <c r="G329" s="72"/>
      <c r="H329" s="1958"/>
      <c r="I329" s="1958"/>
      <c r="J329" s="1958"/>
      <c r="K329" s="1958"/>
      <c r="L329" s="1958"/>
      <c r="M329" s="1958"/>
      <c r="N329" s="8" t="s">
        <v>900</v>
      </c>
      <c r="O329" s="8"/>
      <c r="P329" s="1955"/>
      <c r="Q329" s="1955"/>
      <c r="R329" s="1955"/>
      <c r="S329" s="72"/>
      <c r="T329" s="72" t="s">
        <v>419</v>
      </c>
      <c r="U329" s="16"/>
      <c r="V329" s="72"/>
      <c r="W329" s="72"/>
      <c r="X329" s="72"/>
      <c r="Y329" s="72"/>
      <c r="Z329" s="16"/>
      <c r="AA329" s="1958"/>
      <c r="AB329" s="1958"/>
      <c r="AC329" s="1958"/>
      <c r="AD329" s="1958"/>
      <c r="AE329" s="1958"/>
      <c r="AF329" s="1958"/>
      <c r="AG329" s="8" t="s">
        <v>900</v>
      </c>
      <c r="AH329" s="8"/>
      <c r="AI329" s="1955"/>
      <c r="AJ329" s="1955"/>
      <c r="AK329" s="1955"/>
      <c r="AL329" s="327"/>
      <c r="AM329" s="137"/>
      <c r="AN329" s="439"/>
    </row>
    <row r="330" spans="1:76" s="137" customFormat="1" ht="12.75" customHeight="1">
      <c r="A330" s="153"/>
      <c r="B330" s="72" t="s">
        <v>99</v>
      </c>
      <c r="C330" s="72"/>
      <c r="D330" s="72"/>
      <c r="E330" s="72"/>
      <c r="F330" s="72"/>
      <c r="G330" s="72"/>
      <c r="H330" s="1705"/>
      <c r="I330" s="1705"/>
      <c r="J330" s="1705"/>
      <c r="K330" s="1705"/>
      <c r="L330" s="1705"/>
      <c r="M330" s="1705"/>
      <c r="N330" s="1705"/>
      <c r="O330" s="1705"/>
      <c r="P330" s="1705"/>
      <c r="Q330" s="1705"/>
      <c r="R330" s="1705"/>
      <c r="S330" s="72"/>
      <c r="T330" s="72" t="s">
        <v>99</v>
      </c>
      <c r="U330" s="16"/>
      <c r="V330" s="72"/>
      <c r="W330" s="72"/>
      <c r="X330" s="72"/>
      <c r="Y330" s="72"/>
      <c r="Z330" s="16"/>
      <c r="AA330" s="1705"/>
      <c r="AB330" s="1705"/>
      <c r="AC330" s="1705"/>
      <c r="AD330" s="1705"/>
      <c r="AE330" s="1705"/>
      <c r="AF330" s="1705"/>
      <c r="AG330" s="1705"/>
      <c r="AH330" s="1705"/>
      <c r="AI330" s="1705"/>
      <c r="AJ330" s="1705"/>
      <c r="AK330" s="1705"/>
      <c r="AL330" s="327"/>
      <c r="AN330" s="1136"/>
    </row>
    <row r="331" spans="1:76" s="46" customFormat="1" ht="12.75" customHeight="1">
      <c r="A331" s="153"/>
      <c r="B331" s="72" t="s">
        <v>101</v>
      </c>
      <c r="C331" s="72"/>
      <c r="D331" s="72"/>
      <c r="E331" s="72"/>
      <c r="F331" s="72"/>
      <c r="G331" s="72"/>
      <c r="H331" s="1705"/>
      <c r="I331" s="1705"/>
      <c r="J331" s="1705"/>
      <c r="K331" s="1705"/>
      <c r="L331" s="1705"/>
      <c r="M331" s="1705"/>
      <c r="N331" s="1705"/>
      <c r="O331" s="1705"/>
      <c r="P331" s="1705"/>
      <c r="Q331" s="1705"/>
      <c r="R331" s="1705"/>
      <c r="S331" s="72"/>
      <c r="T331" s="72" t="s">
        <v>101</v>
      </c>
      <c r="U331" s="16"/>
      <c r="V331" s="72"/>
      <c r="W331" s="72"/>
      <c r="X331" s="72"/>
      <c r="Y331" s="72"/>
      <c r="Z331" s="16"/>
      <c r="AA331" s="1705"/>
      <c r="AB331" s="1705"/>
      <c r="AC331" s="1705"/>
      <c r="AD331" s="1705"/>
      <c r="AE331" s="1705"/>
      <c r="AF331" s="1705"/>
      <c r="AG331" s="1705"/>
      <c r="AH331" s="1705"/>
      <c r="AI331" s="1705"/>
      <c r="AJ331" s="1705"/>
      <c r="AK331" s="1705"/>
      <c r="AL331" s="327"/>
      <c r="AM331" s="137"/>
      <c r="AN331" s="439"/>
    </row>
    <row r="332" spans="1:76" s="46" customFormat="1" ht="12.75" customHeight="1">
      <c r="A332" s="153"/>
      <c r="B332" s="72" t="s">
        <v>112</v>
      </c>
      <c r="C332" s="72"/>
      <c r="D332" s="72"/>
      <c r="E332" s="72"/>
      <c r="F332" s="72"/>
      <c r="G332" s="72"/>
      <c r="H332" s="2319"/>
      <c r="I332" s="2319"/>
      <c r="J332" s="2319"/>
      <c r="K332" s="2319"/>
      <c r="L332" s="2319"/>
      <c r="M332" s="2319"/>
      <c r="N332" s="2319"/>
      <c r="O332" s="2319"/>
      <c r="P332" s="2319"/>
      <c r="Q332" s="2319"/>
      <c r="R332" s="2319"/>
      <c r="S332" s="72"/>
      <c r="T332" s="72" t="s">
        <v>112</v>
      </c>
      <c r="U332" s="72"/>
      <c r="V332" s="72"/>
      <c r="W332" s="72"/>
      <c r="X332" s="72"/>
      <c r="Y332" s="72"/>
      <c r="Z332" s="18"/>
      <c r="AA332" s="2319"/>
      <c r="AB332" s="2319"/>
      <c r="AC332" s="2319"/>
      <c r="AD332" s="2319"/>
      <c r="AE332" s="2319"/>
      <c r="AF332" s="2319"/>
      <c r="AG332" s="2319"/>
      <c r="AH332" s="2319"/>
      <c r="AI332" s="2319"/>
      <c r="AJ332" s="2319"/>
      <c r="AK332" s="231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408</v>
      </c>
      <c r="AF335" s="2375"/>
      <c r="AG335" s="2375"/>
      <c r="AH335" s="2375"/>
      <c r="AI335" s="2375"/>
      <c r="AJ335" s="2375"/>
      <c r="AK335" s="2375"/>
      <c r="AL335" s="152"/>
      <c r="AM335" s="1416"/>
      <c r="AN335" s="152"/>
    </row>
    <row r="336" spans="1:76" s="46" customFormat="1" ht="12.75" customHeight="1">
      <c r="A336" s="152"/>
      <c r="B336" s="161"/>
      <c r="C336" s="2368" t="s">
        <v>2090</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17"/>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45"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45"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2091</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45"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2092</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2093</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2"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5" t="s">
        <v>1004</v>
      </c>
      <c r="AP356" s="1166">
        <f>IF(C381="Yes",5,0)</f>
        <v>5</v>
      </c>
      <c r="AQ356" s="137"/>
      <c r="AR356" s="137"/>
      <c r="AS356" s="63" t="s">
        <v>2012</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5"/>
      <c r="AP357" s="1166"/>
      <c r="AQ357" s="137"/>
      <c r="AR357" s="137"/>
      <c r="AS357" s="2365">
        <f>IF(AQ370=0,AQ383,AQ370)</f>
        <v>10</v>
      </c>
      <c r="AT357" s="2365"/>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5" t="s">
        <v>1005</v>
      </c>
      <c r="AP358" s="1166">
        <f>IF(C391="Yes",5,0)</f>
        <v>0</v>
      </c>
      <c r="AS358" s="63" t="s">
        <v>2046</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5"/>
      <c r="AP359" s="1166"/>
      <c r="AS359" s="2365">
        <f>IF(AND(AQ370&gt;0,AQ383&gt;0),(AQ370+AQ383)/2,0)</f>
        <v>10</v>
      </c>
      <c r="AT359" s="2365"/>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5" t="s">
        <v>1011</v>
      </c>
      <c r="AP360" s="1166">
        <f>IF(C401="Yes",7,0)</f>
        <v>0</v>
      </c>
      <c r="AQ360" s="137"/>
      <c r="AR360" s="137"/>
    </row>
    <row r="361" spans="1:46" s="46" customFormat="1" ht="12.75" customHeight="1">
      <c r="A361" s="163"/>
      <c r="B361" s="144"/>
      <c r="C361" s="2368" t="s">
        <v>2094</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66">
        <f>IF(C403="Yes",5,0)</f>
        <v>0</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66"/>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5" t="s">
        <v>480</v>
      </c>
      <c r="AP363" s="1166">
        <f>IF(C411="Yes",5,0)</f>
        <v>0</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66">
        <f>IF(C413="Yes",3,0)</f>
        <v>0</v>
      </c>
    </row>
    <row r="365" spans="1:46" s="46" customFormat="1" ht="12.45"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66"/>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5" t="s">
        <v>188</v>
      </c>
      <c r="AP366" s="1166">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5" t="s">
        <v>483</v>
      </c>
      <c r="AP367" s="1166">
        <f>IF(C425="Yes",5,0)</f>
        <v>5</v>
      </c>
    </row>
    <row r="368" spans="1:46" s="46" customFormat="1" ht="12.75" customHeight="1">
      <c r="A368" s="163"/>
      <c r="B368" s="144"/>
      <c r="C368" s="2368" t="s">
        <v>2095</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66">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67"/>
      <c r="AP369" s="1168"/>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69" t="s">
        <v>676</v>
      </c>
      <c r="AP370" s="1170">
        <f>SUM(AP356:AP369)</f>
        <v>10</v>
      </c>
      <c r="AQ370" s="2545">
        <f>IF(AP370&gt;0,AP370,0)</f>
        <v>10</v>
      </c>
      <c r="AR370" s="2545"/>
    </row>
    <row r="371" spans="1:153" s="46" customFormat="1" ht="12.45" customHeight="1">
      <c r="A371" s="163"/>
      <c r="B371" s="144"/>
      <c r="C371" s="435" t="s">
        <v>1672</v>
      </c>
      <c r="AF371" s="163"/>
      <c r="AG371" s="163"/>
      <c r="AH371" s="163"/>
      <c r="AI371" s="163"/>
      <c r="AJ371" s="163"/>
      <c r="AK371" s="163"/>
      <c r="AL371" s="163"/>
      <c r="AM371" s="163"/>
      <c r="AN371" s="439"/>
      <c r="AO371" s="1165" t="s">
        <v>810</v>
      </c>
      <c r="AP371" s="1166">
        <f>IF(C434="Yes",5,0)</f>
        <v>5</v>
      </c>
    </row>
    <row r="372" spans="1:153" s="46" customFormat="1" ht="12.75" customHeight="1">
      <c r="A372" s="163"/>
      <c r="B372" s="144"/>
      <c r="C372" s="1171" t="s">
        <v>2217</v>
      </c>
      <c r="D372" s="1172"/>
      <c r="E372" s="1172"/>
      <c r="F372" s="1172"/>
      <c r="G372" s="1172"/>
      <c r="H372" s="1172"/>
      <c r="I372" s="1172"/>
      <c r="J372" s="1172"/>
      <c r="K372" s="1172"/>
      <c r="L372" s="1172"/>
      <c r="M372" s="342"/>
      <c r="N372" s="342"/>
      <c r="O372" s="1173"/>
      <c r="P372" s="1172"/>
      <c r="Q372" s="1172"/>
      <c r="R372" s="342"/>
      <c r="S372" s="342"/>
      <c r="T372" s="1172"/>
      <c r="U372" s="2550">
        <f>'Service Amenities Budget'!J10</f>
        <v>76</v>
      </c>
      <c r="V372" s="2550"/>
      <c r="W372" s="2550"/>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2011</v>
      </c>
      <c r="D373" s="1175"/>
      <c r="E373" s="1175"/>
      <c r="F373" s="1175"/>
      <c r="G373" s="1175"/>
      <c r="H373" s="1175"/>
      <c r="I373" s="1175"/>
      <c r="J373" s="1175"/>
      <c r="K373" s="1175"/>
      <c r="L373" s="1175"/>
      <c r="M373" s="257"/>
      <c r="N373" s="257"/>
      <c r="O373" s="1175"/>
      <c r="P373" s="1175"/>
      <c r="Q373" s="1175"/>
      <c r="R373" s="1175"/>
      <c r="S373" s="1175"/>
      <c r="T373" s="1175"/>
      <c r="U373" s="2551">
        <f>'Service Amenities Budget'!J9</f>
        <v>40</v>
      </c>
      <c r="V373" s="2551"/>
      <c r="W373" s="2551"/>
      <c r="X373" s="1175"/>
      <c r="Y373" s="1175"/>
      <c r="Z373" s="1175"/>
      <c r="AA373" s="1176"/>
      <c r="AB373" s="435"/>
      <c r="AC373" s="433"/>
      <c r="AD373" s="433"/>
      <c r="AE373" s="163"/>
      <c r="AF373" s="163"/>
      <c r="AG373" s="163"/>
      <c r="AH373" s="163"/>
      <c r="AI373" s="163"/>
      <c r="AJ373" s="163"/>
      <c r="AK373" s="163"/>
      <c r="AL373" s="163"/>
      <c r="AM373" s="163"/>
      <c r="AN373" s="439"/>
      <c r="AO373" s="1165" t="s">
        <v>811</v>
      </c>
      <c r="AP373" s="1166">
        <f>IF(C446="Yes",5,0)</f>
        <v>5</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606</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795</v>
      </c>
      <c r="F377" s="2338" t="s">
        <v>2021</v>
      </c>
      <c r="G377" s="2338"/>
      <c r="H377" s="2338"/>
      <c r="I377" s="2338"/>
      <c r="J377" s="2338"/>
      <c r="K377" s="2338"/>
      <c r="L377" s="2338"/>
      <c r="M377" s="2338"/>
      <c r="N377" s="2338"/>
      <c r="O377" s="2338"/>
      <c r="P377" s="2338"/>
      <c r="Q377" s="2338"/>
      <c r="R377" s="2338"/>
      <c r="S377" s="2338"/>
      <c r="T377" s="2338"/>
      <c r="U377" s="2338"/>
      <c r="V377" s="2338"/>
      <c r="W377" s="2338"/>
      <c r="X377" s="2338"/>
      <c r="Y377" s="2338"/>
      <c r="Z377" s="2338"/>
      <c r="AA377" s="2338"/>
      <c r="AB377" s="2338"/>
      <c r="AC377" s="2338"/>
      <c r="AD377" s="2338"/>
      <c r="AE377" s="2338"/>
      <c r="AF377" s="2338"/>
      <c r="AG377" s="1325"/>
      <c r="AH377" s="1325"/>
      <c r="AI377" s="1325"/>
      <c r="AJ377" s="1325"/>
      <c r="AK377" s="1325"/>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39"/>
      <c r="G378" s="2339"/>
      <c r="H378" s="2339"/>
      <c r="I378" s="2339"/>
      <c r="J378" s="2339"/>
      <c r="K378" s="2339"/>
      <c r="L378" s="2339"/>
      <c r="M378" s="2339"/>
      <c r="N378" s="2339"/>
      <c r="O378" s="2339"/>
      <c r="P378" s="2339"/>
      <c r="Q378" s="2339"/>
      <c r="R378" s="2339"/>
      <c r="S378" s="2339"/>
      <c r="T378" s="2339"/>
      <c r="U378" s="2339"/>
      <c r="V378" s="2339"/>
      <c r="W378" s="2339"/>
      <c r="X378" s="2339"/>
      <c r="Y378" s="2339"/>
      <c r="Z378" s="2339"/>
      <c r="AA378" s="2339"/>
      <c r="AB378" s="2339"/>
      <c r="AC378" s="2339"/>
      <c r="AD378" s="2339"/>
      <c r="AE378" s="2339"/>
      <c r="AF378" s="2339"/>
      <c r="AG378" s="681"/>
      <c r="AH378" s="681"/>
      <c r="AI378" s="681"/>
      <c r="AJ378" s="681"/>
      <c r="AK378" s="681"/>
      <c r="AL378" s="1383"/>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39"/>
      <c r="G379" s="2339"/>
      <c r="H379" s="2339"/>
      <c r="I379" s="2339"/>
      <c r="J379" s="2339"/>
      <c r="K379" s="2339"/>
      <c r="L379" s="2339"/>
      <c r="M379" s="2339"/>
      <c r="N379" s="2339"/>
      <c r="O379" s="2339"/>
      <c r="P379" s="2339"/>
      <c r="Q379" s="2339"/>
      <c r="R379" s="2339"/>
      <c r="S379" s="2339"/>
      <c r="T379" s="2339"/>
      <c r="U379" s="2339"/>
      <c r="V379" s="2339"/>
      <c r="W379" s="2339"/>
      <c r="X379" s="2339"/>
      <c r="Y379" s="2339"/>
      <c r="Z379" s="2339"/>
      <c r="AA379" s="2339"/>
      <c r="AB379" s="2339"/>
      <c r="AC379" s="2339"/>
      <c r="AD379" s="2339"/>
      <c r="AE379" s="2339"/>
      <c r="AF379" s="2339"/>
      <c r="AG379" s="681"/>
      <c r="AH379" s="681"/>
      <c r="AI379" s="681"/>
      <c r="AJ379" s="681"/>
      <c r="AK379" s="681"/>
      <c r="AL379" s="1383"/>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39"/>
      <c r="G380" s="2339"/>
      <c r="H380" s="2339"/>
      <c r="I380" s="2339"/>
      <c r="J380" s="2339"/>
      <c r="K380" s="2339"/>
      <c r="L380" s="2339"/>
      <c r="M380" s="2339"/>
      <c r="N380" s="2339"/>
      <c r="O380" s="2339"/>
      <c r="P380" s="2339"/>
      <c r="Q380" s="2339"/>
      <c r="R380" s="2339"/>
      <c r="S380" s="2339"/>
      <c r="T380" s="2339"/>
      <c r="U380" s="2339"/>
      <c r="V380" s="2339"/>
      <c r="W380" s="2339"/>
      <c r="X380" s="2339"/>
      <c r="Y380" s="2339"/>
      <c r="Z380" s="2339"/>
      <c r="AA380" s="2339"/>
      <c r="AB380" s="2339"/>
      <c r="AC380" s="2339"/>
      <c r="AD380" s="2339"/>
      <c r="AE380" s="2339"/>
      <c r="AF380" s="2339"/>
      <c r="AG380" s="681"/>
      <c r="AH380" s="681"/>
      <c r="AI380" s="681"/>
      <c r="AJ380" s="681"/>
      <c r="AK380" s="681"/>
      <c r="AL380" s="1383"/>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4" t="s">
        <v>119</v>
      </c>
      <c r="D381" s="1696"/>
      <c r="E381" s="350"/>
      <c r="F381" s="1180" t="s">
        <v>2013</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1921" t="s">
        <v>355</v>
      </c>
      <c r="AG381" s="1921"/>
      <c r="AH381" s="1921"/>
      <c r="AI381" s="1921"/>
      <c r="AJ381" s="1921"/>
      <c r="AK381" s="1921"/>
      <c r="AL381" s="2322"/>
      <c r="AM381" s="1418"/>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0"/>
      <c r="D382" s="1199"/>
      <c r="E382" s="1188"/>
      <c r="F382" s="1381"/>
      <c r="G382" s="1381"/>
      <c r="H382" s="1381"/>
      <c r="I382" s="1381"/>
      <c r="J382" s="1381"/>
      <c r="K382" s="1381"/>
      <c r="L382" s="1381"/>
      <c r="M382" s="1381"/>
      <c r="N382" s="1381"/>
      <c r="O382" s="1381"/>
      <c r="P382" s="1381"/>
      <c r="Q382" s="1381"/>
      <c r="R382" s="1381"/>
      <c r="S382" s="1381"/>
      <c r="T382" s="1381"/>
      <c r="U382" s="1381"/>
      <c r="V382" s="1381"/>
      <c r="W382" s="1381"/>
      <c r="X382" s="1381"/>
      <c r="Y382" s="1381"/>
      <c r="Z382" s="1381"/>
      <c r="AA382" s="1381"/>
      <c r="AB382" s="1381"/>
      <c r="AC382" s="1381"/>
      <c r="AD382" s="1381"/>
      <c r="AE382" s="1385"/>
      <c r="AF382" s="1385"/>
      <c r="AG382" s="1385"/>
      <c r="AH382" s="1385"/>
      <c r="AI382" s="1385"/>
      <c r="AJ382" s="1385"/>
      <c r="AK382" s="1385"/>
      <c r="AL382" s="1386"/>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10</v>
      </c>
      <c r="AQ383" s="2545">
        <f>IF(AP383&gt;0,AP383,0)</f>
        <v>10</v>
      </c>
      <c r="AR383" s="254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38" t="s">
        <v>2020</v>
      </c>
      <c r="G386" s="2338"/>
      <c r="H386" s="2338"/>
      <c r="I386" s="2338"/>
      <c r="J386" s="2338"/>
      <c r="K386" s="2338"/>
      <c r="L386" s="2338"/>
      <c r="M386" s="2338"/>
      <c r="N386" s="2338"/>
      <c r="O386" s="2338"/>
      <c r="P386" s="2338"/>
      <c r="Q386" s="2338"/>
      <c r="R386" s="2338"/>
      <c r="S386" s="2338"/>
      <c r="T386" s="2338"/>
      <c r="U386" s="2338"/>
      <c r="V386" s="2338"/>
      <c r="W386" s="2338"/>
      <c r="X386" s="2338"/>
      <c r="Y386" s="2338"/>
      <c r="Z386" s="2338"/>
      <c r="AA386" s="2338"/>
      <c r="AB386" s="2338"/>
      <c r="AC386" s="2338"/>
      <c r="AD386" s="2338"/>
      <c r="AE386" s="2338"/>
      <c r="AF386" s="2338"/>
      <c r="AG386" s="1325"/>
      <c r="AH386" s="1325"/>
      <c r="AI386" s="1325"/>
      <c r="AJ386" s="1325"/>
      <c r="AK386" s="1325"/>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39"/>
      <c r="G387" s="2339"/>
      <c r="H387" s="2339"/>
      <c r="I387" s="2339"/>
      <c r="J387" s="2339"/>
      <c r="K387" s="2339"/>
      <c r="L387" s="2339"/>
      <c r="M387" s="2339"/>
      <c r="N387" s="2339"/>
      <c r="O387" s="2339"/>
      <c r="P387" s="2339"/>
      <c r="Q387" s="2339"/>
      <c r="R387" s="2339"/>
      <c r="S387" s="2339"/>
      <c r="T387" s="2339"/>
      <c r="U387" s="2339"/>
      <c r="V387" s="2339"/>
      <c r="W387" s="2339"/>
      <c r="X387" s="2339"/>
      <c r="Y387" s="2339"/>
      <c r="Z387" s="2339"/>
      <c r="AA387" s="2339"/>
      <c r="AB387" s="2339"/>
      <c r="AC387" s="2339"/>
      <c r="AD387" s="2339"/>
      <c r="AE387" s="2339"/>
      <c r="AF387" s="2339"/>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39"/>
      <c r="G388" s="2339"/>
      <c r="H388" s="2339"/>
      <c r="I388" s="2339"/>
      <c r="J388" s="2339"/>
      <c r="K388" s="2339"/>
      <c r="L388" s="2339"/>
      <c r="M388" s="2339"/>
      <c r="N388" s="2339"/>
      <c r="O388" s="2339"/>
      <c r="P388" s="2339"/>
      <c r="Q388" s="2339"/>
      <c r="R388" s="2339"/>
      <c r="S388" s="2339"/>
      <c r="T388" s="2339"/>
      <c r="U388" s="2339"/>
      <c r="V388" s="2339"/>
      <c r="W388" s="2339"/>
      <c r="X388" s="2339"/>
      <c r="Y388" s="2339"/>
      <c r="Z388" s="2339"/>
      <c r="AA388" s="2339"/>
      <c r="AB388" s="2339"/>
      <c r="AC388" s="2339"/>
      <c r="AD388" s="2339"/>
      <c r="AE388" s="2339"/>
      <c r="AF388" s="2339"/>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39"/>
      <c r="G389" s="2339"/>
      <c r="H389" s="2339"/>
      <c r="I389" s="2339"/>
      <c r="J389" s="2339"/>
      <c r="K389" s="2339"/>
      <c r="L389" s="2339"/>
      <c r="M389" s="2339"/>
      <c r="N389" s="2339"/>
      <c r="O389" s="2339"/>
      <c r="P389" s="2339"/>
      <c r="Q389" s="2339"/>
      <c r="R389" s="2339"/>
      <c r="S389" s="2339"/>
      <c r="T389" s="2339"/>
      <c r="U389" s="2339"/>
      <c r="V389" s="2339"/>
      <c r="W389" s="2339"/>
      <c r="X389" s="2339"/>
      <c r="Y389" s="2339"/>
      <c r="Z389" s="2339"/>
      <c r="AA389" s="2339"/>
      <c r="AB389" s="2339"/>
      <c r="AC389" s="2339"/>
      <c r="AD389" s="2339"/>
      <c r="AE389" s="2339"/>
      <c r="AF389" s="2339"/>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39"/>
      <c r="G390" s="2339"/>
      <c r="H390" s="2339"/>
      <c r="I390" s="2339"/>
      <c r="J390" s="2339"/>
      <c r="K390" s="2339"/>
      <c r="L390" s="2339"/>
      <c r="M390" s="2339"/>
      <c r="N390" s="2339"/>
      <c r="O390" s="2339"/>
      <c r="P390" s="2339"/>
      <c r="Q390" s="2339"/>
      <c r="R390" s="2339"/>
      <c r="S390" s="2339"/>
      <c r="T390" s="2339"/>
      <c r="U390" s="2339"/>
      <c r="V390" s="2339"/>
      <c r="W390" s="2339"/>
      <c r="X390" s="2339"/>
      <c r="Y390" s="2339"/>
      <c r="Z390" s="2339"/>
      <c r="AA390" s="2339"/>
      <c r="AB390" s="2339"/>
      <c r="AC390" s="2339"/>
      <c r="AD390" s="2339"/>
      <c r="AE390" s="2339"/>
      <c r="AF390" s="2339"/>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4" t="s">
        <v>136</v>
      </c>
      <c r="D391" s="1696"/>
      <c r="E391" s="306"/>
      <c r="F391" s="1180" t="s">
        <v>2014</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1921" t="s">
        <v>355</v>
      </c>
      <c r="AG391" s="1921"/>
      <c r="AH391" s="1921"/>
      <c r="AI391" s="1921"/>
      <c r="AJ391" s="1921"/>
      <c r="AK391" s="1921"/>
      <c r="AL391" s="232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0"/>
      <c r="D392" s="1199"/>
      <c r="E392" s="1188"/>
      <c r="F392" s="1381"/>
      <c r="G392" s="1381"/>
      <c r="H392" s="1381"/>
      <c r="I392" s="1381"/>
      <c r="J392" s="1381"/>
      <c r="K392" s="1381"/>
      <c r="L392" s="1381"/>
      <c r="M392" s="1381"/>
      <c r="N392" s="1381"/>
      <c r="O392" s="1381"/>
      <c r="P392" s="1381"/>
      <c r="Q392" s="1381"/>
      <c r="R392" s="1381"/>
      <c r="S392" s="1381"/>
      <c r="T392" s="1381"/>
      <c r="U392" s="1381"/>
      <c r="V392" s="1381"/>
      <c r="W392" s="1381"/>
      <c r="X392" s="1381"/>
      <c r="Y392" s="1381"/>
      <c r="Z392" s="1381"/>
      <c r="AA392" s="1381"/>
      <c r="AB392" s="1381"/>
      <c r="AC392" s="1381"/>
      <c r="AD392" s="1381"/>
      <c r="AE392" s="1385"/>
      <c r="AF392" s="1385"/>
      <c r="AG392" s="1385"/>
      <c r="AH392" s="1385"/>
      <c r="AI392" s="1385"/>
      <c r="AJ392" s="1385"/>
      <c r="AK392" s="1385"/>
      <c r="AL392" s="138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3"/>
      <c r="D393" s="2323"/>
      <c r="E393" s="350"/>
      <c r="F393" s="1421"/>
      <c r="G393" s="1422"/>
      <c r="H393" s="1422"/>
      <c r="I393" s="1422"/>
      <c r="J393" s="1422"/>
      <c r="K393" s="1422"/>
      <c r="L393" s="1422"/>
      <c r="M393" s="1422"/>
      <c r="N393" s="1422"/>
      <c r="O393" s="1422"/>
      <c r="P393" s="1422"/>
      <c r="Q393" s="1422"/>
      <c r="R393" s="1422"/>
      <c r="S393" s="1422"/>
      <c r="T393" s="1422"/>
      <c r="U393" s="1422"/>
      <c r="V393" s="1422"/>
      <c r="W393" s="1422"/>
      <c r="X393" s="1422"/>
      <c r="Y393" s="1422"/>
      <c r="Z393" s="1422"/>
      <c r="AA393" s="1422"/>
      <c r="AB393" s="1422"/>
      <c r="AC393" s="1422"/>
      <c r="AD393" s="1422"/>
      <c r="AE393" s="203"/>
      <c r="AF393" s="2294"/>
      <c r="AG393" s="2294"/>
      <c r="AH393" s="2294"/>
      <c r="AI393" s="2294"/>
      <c r="AJ393" s="2294"/>
      <c r="AK393" s="2294"/>
      <c r="AL393" s="229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366" t="s">
        <v>2240</v>
      </c>
      <c r="G396" s="2366"/>
      <c r="H396" s="2366"/>
      <c r="I396" s="2366"/>
      <c r="J396" s="2366"/>
      <c r="K396" s="2366"/>
      <c r="L396" s="2366"/>
      <c r="M396" s="2366"/>
      <c r="N396" s="2366"/>
      <c r="O396" s="2366"/>
      <c r="P396" s="2366"/>
      <c r="Q396" s="2366"/>
      <c r="R396" s="2366"/>
      <c r="S396" s="2366"/>
      <c r="T396" s="2366"/>
      <c r="U396" s="2366"/>
      <c r="V396" s="2366"/>
      <c r="W396" s="2366"/>
      <c r="X396" s="2366"/>
      <c r="Y396" s="2366"/>
      <c r="Z396" s="2366"/>
      <c r="AA396" s="2366"/>
      <c r="AB396" s="2366"/>
      <c r="AC396" s="2366"/>
      <c r="AD396" s="2366"/>
      <c r="AE396" s="2366"/>
      <c r="AF396" s="2366"/>
      <c r="AG396" s="1325"/>
      <c r="AH396" s="1325"/>
      <c r="AI396" s="1325"/>
      <c r="AJ396" s="1325"/>
      <c r="AK396" s="1325"/>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367"/>
      <c r="G397" s="2367"/>
      <c r="H397" s="2367"/>
      <c r="I397" s="2367"/>
      <c r="J397" s="2367"/>
      <c r="K397" s="2367"/>
      <c r="L397" s="2367"/>
      <c r="M397" s="2367"/>
      <c r="N397" s="2367"/>
      <c r="O397" s="2367"/>
      <c r="P397" s="2367"/>
      <c r="Q397" s="2367"/>
      <c r="R397" s="2367"/>
      <c r="S397" s="2367"/>
      <c r="T397" s="2367"/>
      <c r="U397" s="2367"/>
      <c r="V397" s="2367"/>
      <c r="W397" s="2367"/>
      <c r="X397" s="2367"/>
      <c r="Y397" s="2367"/>
      <c r="Z397" s="2367"/>
      <c r="AA397" s="2367"/>
      <c r="AB397" s="2367"/>
      <c r="AC397" s="2367"/>
      <c r="AD397" s="2367"/>
      <c r="AE397" s="2367"/>
      <c r="AF397" s="2367"/>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367"/>
      <c r="G398" s="2367"/>
      <c r="H398" s="2367"/>
      <c r="I398" s="2367"/>
      <c r="J398" s="2367"/>
      <c r="K398" s="2367"/>
      <c r="L398" s="2367"/>
      <c r="M398" s="2367"/>
      <c r="N398" s="2367"/>
      <c r="O398" s="2367"/>
      <c r="P398" s="2367"/>
      <c r="Q398" s="2367"/>
      <c r="R398" s="2367"/>
      <c r="S398" s="2367"/>
      <c r="T398" s="2367"/>
      <c r="U398" s="2367"/>
      <c r="V398" s="2367"/>
      <c r="W398" s="2367"/>
      <c r="X398" s="2367"/>
      <c r="Y398" s="2367"/>
      <c r="Z398" s="2367"/>
      <c r="AA398" s="2367"/>
      <c r="AB398" s="2367"/>
      <c r="AC398" s="2367"/>
      <c r="AD398" s="2367"/>
      <c r="AE398" s="2367"/>
      <c r="AF398" s="2367"/>
      <c r="AG398" s="681"/>
      <c r="AH398" s="681"/>
      <c r="AI398" s="681"/>
      <c r="AJ398" s="681"/>
      <c r="AK398" s="681"/>
      <c r="AL398" s="138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367"/>
      <c r="G399" s="2367"/>
      <c r="H399" s="2367"/>
      <c r="I399" s="2367"/>
      <c r="J399" s="2367"/>
      <c r="K399" s="2367"/>
      <c r="L399" s="2367"/>
      <c r="M399" s="2367"/>
      <c r="N399" s="2367"/>
      <c r="O399" s="2367"/>
      <c r="P399" s="2367"/>
      <c r="Q399" s="2367"/>
      <c r="R399" s="2367"/>
      <c r="S399" s="2367"/>
      <c r="T399" s="2367"/>
      <c r="U399" s="2367"/>
      <c r="V399" s="2367"/>
      <c r="W399" s="2367"/>
      <c r="X399" s="2367"/>
      <c r="Y399" s="2367"/>
      <c r="Z399" s="2367"/>
      <c r="AA399" s="2367"/>
      <c r="AB399" s="2367"/>
      <c r="AC399" s="2367"/>
      <c r="AD399" s="2367"/>
      <c r="AE399" s="2367"/>
      <c r="AF399" s="2367"/>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367"/>
      <c r="G400" s="2367"/>
      <c r="H400" s="2367"/>
      <c r="I400" s="2367"/>
      <c r="J400" s="2367"/>
      <c r="K400" s="2367"/>
      <c r="L400" s="2367"/>
      <c r="M400" s="2367"/>
      <c r="N400" s="2367"/>
      <c r="O400" s="2367"/>
      <c r="P400" s="2367"/>
      <c r="Q400" s="2367"/>
      <c r="R400" s="2367"/>
      <c r="S400" s="2367"/>
      <c r="T400" s="2367"/>
      <c r="U400" s="2367"/>
      <c r="V400" s="2367"/>
      <c r="W400" s="2367"/>
      <c r="X400" s="2367"/>
      <c r="Y400" s="2367"/>
      <c r="Z400" s="2367"/>
      <c r="AA400" s="2367"/>
      <c r="AB400" s="2367"/>
      <c r="AC400" s="2367"/>
      <c r="AD400" s="2367"/>
      <c r="AE400" s="2367"/>
      <c r="AF400" s="2367"/>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4" t="s">
        <v>136</v>
      </c>
      <c r="D401" s="1696"/>
      <c r="E401" s="306"/>
      <c r="F401" s="1180" t="s">
        <v>2016</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1921" t="s">
        <v>1067</v>
      </c>
      <c r="AG401" s="1921"/>
      <c r="AH401" s="1921"/>
      <c r="AI401" s="1921"/>
      <c r="AJ401" s="1921"/>
      <c r="AK401" s="1921"/>
      <c r="AL401" s="2322"/>
      <c r="AM401" s="141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4" t="s">
        <v>136</v>
      </c>
      <c r="D403" s="1696"/>
      <c r="E403" s="306"/>
      <c r="F403" s="1193" t="s">
        <v>2017</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1921" t="s">
        <v>355</v>
      </c>
      <c r="AG403" s="1921"/>
      <c r="AH403" s="1921"/>
      <c r="AI403" s="1921"/>
      <c r="AJ403" s="1921"/>
      <c r="AK403" s="1921"/>
      <c r="AL403" s="232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2015</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38" t="s">
        <v>2019</v>
      </c>
      <c r="G407" s="2338"/>
      <c r="H407" s="2338"/>
      <c r="I407" s="2338"/>
      <c r="J407" s="2338"/>
      <c r="K407" s="2338"/>
      <c r="L407" s="2338"/>
      <c r="M407" s="2338"/>
      <c r="N407" s="2338"/>
      <c r="O407" s="2338"/>
      <c r="P407" s="2338"/>
      <c r="Q407" s="2338"/>
      <c r="R407" s="2338"/>
      <c r="S407" s="2338"/>
      <c r="T407" s="2338"/>
      <c r="U407" s="2338"/>
      <c r="V407" s="2338"/>
      <c r="W407" s="2338"/>
      <c r="X407" s="2338"/>
      <c r="Y407" s="2338"/>
      <c r="Z407" s="2338"/>
      <c r="AA407" s="2338"/>
      <c r="AB407" s="2338"/>
      <c r="AC407" s="2338"/>
      <c r="AD407" s="2338"/>
      <c r="AE407" s="2338"/>
      <c r="AF407" s="2338"/>
      <c r="AG407" s="1325"/>
      <c r="AH407" s="1325"/>
      <c r="AI407" s="1325"/>
      <c r="AJ407" s="1325"/>
      <c r="AK407" s="1325"/>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39"/>
      <c r="G408" s="2339"/>
      <c r="H408" s="2339"/>
      <c r="I408" s="2339"/>
      <c r="J408" s="2339"/>
      <c r="K408" s="2339"/>
      <c r="L408" s="2339"/>
      <c r="M408" s="2339"/>
      <c r="N408" s="2339"/>
      <c r="O408" s="2339"/>
      <c r="P408" s="2339"/>
      <c r="Q408" s="2339"/>
      <c r="R408" s="2339"/>
      <c r="S408" s="2339"/>
      <c r="T408" s="2339"/>
      <c r="U408" s="2339"/>
      <c r="V408" s="2339"/>
      <c r="W408" s="2339"/>
      <c r="X408" s="2339"/>
      <c r="Y408" s="2339"/>
      <c r="Z408" s="2339"/>
      <c r="AA408" s="2339"/>
      <c r="AB408" s="2339"/>
      <c r="AC408" s="2339"/>
      <c r="AD408" s="2339"/>
      <c r="AE408" s="2339"/>
      <c r="AF408" s="2339"/>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39"/>
      <c r="G409" s="2339"/>
      <c r="H409" s="2339"/>
      <c r="I409" s="2339"/>
      <c r="J409" s="2339"/>
      <c r="K409" s="2339"/>
      <c r="L409" s="2339"/>
      <c r="M409" s="2339"/>
      <c r="N409" s="2339"/>
      <c r="O409" s="2339"/>
      <c r="P409" s="2339"/>
      <c r="Q409" s="2339"/>
      <c r="R409" s="2339"/>
      <c r="S409" s="2339"/>
      <c r="T409" s="2339"/>
      <c r="U409" s="2339"/>
      <c r="V409" s="2339"/>
      <c r="W409" s="2339"/>
      <c r="X409" s="2339"/>
      <c r="Y409" s="2339"/>
      <c r="Z409" s="2339"/>
      <c r="AA409" s="2339"/>
      <c r="AB409" s="2339"/>
      <c r="AC409" s="2339"/>
      <c r="AD409" s="2339"/>
      <c r="AE409" s="2339"/>
      <c r="AF409" s="2339"/>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39"/>
      <c r="G410" s="2339"/>
      <c r="H410" s="2339"/>
      <c r="I410" s="2339"/>
      <c r="J410" s="2339"/>
      <c r="K410" s="2339"/>
      <c r="L410" s="2339"/>
      <c r="M410" s="2339"/>
      <c r="N410" s="2339"/>
      <c r="O410" s="2339"/>
      <c r="P410" s="2339"/>
      <c r="Q410" s="2339"/>
      <c r="R410" s="2339"/>
      <c r="S410" s="2339"/>
      <c r="T410" s="2339"/>
      <c r="U410" s="2339"/>
      <c r="V410" s="2339"/>
      <c r="W410" s="2339"/>
      <c r="X410" s="2339"/>
      <c r="Y410" s="2339"/>
      <c r="Z410" s="2339"/>
      <c r="AA410" s="2339"/>
      <c r="AB410" s="2339"/>
      <c r="AC410" s="2339"/>
      <c r="AD410" s="2339"/>
      <c r="AE410" s="2339"/>
      <c r="AF410" s="2339"/>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4" t="s">
        <v>136</v>
      </c>
      <c r="D411" s="1696"/>
      <c r="E411" s="306"/>
      <c r="F411" s="1180" t="s">
        <v>2018</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1921" t="s">
        <v>355</v>
      </c>
      <c r="AG411" s="1921"/>
      <c r="AH411" s="1921"/>
      <c r="AI411" s="1921"/>
      <c r="AJ411" s="1921"/>
      <c r="AK411" s="1921"/>
      <c r="AL411" s="232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4" t="s">
        <v>136</v>
      </c>
      <c r="D413" s="1696"/>
      <c r="E413" s="350"/>
      <c r="F413" s="1180" t="s">
        <v>1068</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1921" t="s">
        <v>1066</v>
      </c>
      <c r="AG413" s="1921"/>
      <c r="AH413" s="1921"/>
      <c r="AI413" s="1921"/>
      <c r="AJ413" s="1921"/>
      <c r="AK413" s="1921"/>
      <c r="AL413" s="232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4" t="s">
        <v>136</v>
      </c>
      <c r="D416" s="1696"/>
      <c r="E416" s="1184" t="s">
        <v>210</v>
      </c>
      <c r="F416" s="2338" t="s">
        <v>2023</v>
      </c>
      <c r="G416" s="2338"/>
      <c r="H416" s="2338"/>
      <c r="I416" s="2338"/>
      <c r="J416" s="2338"/>
      <c r="K416" s="2338"/>
      <c r="L416" s="2338"/>
      <c r="M416" s="2338"/>
      <c r="N416" s="2338"/>
      <c r="O416" s="2338"/>
      <c r="P416" s="2338"/>
      <c r="Q416" s="2338"/>
      <c r="R416" s="2338"/>
      <c r="S416" s="2338"/>
      <c r="T416" s="2338"/>
      <c r="U416" s="2338"/>
      <c r="V416" s="2338"/>
      <c r="W416" s="2338"/>
      <c r="X416" s="2338"/>
      <c r="Y416" s="2338"/>
      <c r="Z416" s="2338"/>
      <c r="AA416" s="2338"/>
      <c r="AB416" s="2338"/>
      <c r="AC416" s="2338"/>
      <c r="AD416" s="2338"/>
      <c r="AE416" s="2338"/>
      <c r="AF416" s="1238"/>
      <c r="AG416" s="1326"/>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39"/>
      <c r="G417" s="2339"/>
      <c r="H417" s="2339"/>
      <c r="I417" s="2339"/>
      <c r="J417" s="2339"/>
      <c r="K417" s="2339"/>
      <c r="L417" s="2339"/>
      <c r="M417" s="2339"/>
      <c r="N417" s="2339"/>
      <c r="O417" s="2339"/>
      <c r="P417" s="2339"/>
      <c r="Q417" s="2339"/>
      <c r="R417" s="2339"/>
      <c r="S417" s="2339"/>
      <c r="T417" s="2339"/>
      <c r="U417" s="2339"/>
      <c r="V417" s="2339"/>
      <c r="W417" s="2339"/>
      <c r="X417" s="2339"/>
      <c r="Y417" s="2339"/>
      <c r="Z417" s="2339"/>
      <c r="AA417" s="2339"/>
      <c r="AB417" s="2339"/>
      <c r="AC417" s="2339"/>
      <c r="AD417" s="2339"/>
      <c r="AE417" s="2339"/>
      <c r="AF417" s="2320" t="s">
        <v>355</v>
      </c>
      <c r="AG417" s="2320"/>
      <c r="AH417" s="2320"/>
      <c r="AI417" s="2320"/>
      <c r="AJ417" s="2320"/>
      <c r="AK417" s="2320"/>
      <c r="AL417" s="232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39"/>
      <c r="G418" s="2339"/>
      <c r="H418" s="2339"/>
      <c r="I418" s="2339"/>
      <c r="J418" s="2339"/>
      <c r="K418" s="2339"/>
      <c r="L418" s="2339"/>
      <c r="M418" s="2339"/>
      <c r="N418" s="2339"/>
      <c r="O418" s="2339"/>
      <c r="P418" s="2339"/>
      <c r="Q418" s="2339"/>
      <c r="R418" s="2339"/>
      <c r="S418" s="2339"/>
      <c r="T418" s="2339"/>
      <c r="U418" s="2339"/>
      <c r="V418" s="2339"/>
      <c r="W418" s="2339"/>
      <c r="X418" s="2339"/>
      <c r="Y418" s="2339"/>
      <c r="Z418" s="2339"/>
      <c r="AA418" s="2339"/>
      <c r="AB418" s="2339"/>
      <c r="AC418" s="2339"/>
      <c r="AD418" s="2339"/>
      <c r="AE418" s="2339"/>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40"/>
      <c r="G419" s="2340"/>
      <c r="H419" s="2340"/>
      <c r="I419" s="2340"/>
      <c r="J419" s="2340"/>
      <c r="K419" s="2340"/>
      <c r="L419" s="2340"/>
      <c r="M419" s="2340"/>
      <c r="N419" s="2340"/>
      <c r="O419" s="2340"/>
      <c r="P419" s="2340"/>
      <c r="Q419" s="2340"/>
      <c r="R419" s="2340"/>
      <c r="S419" s="2340"/>
      <c r="T419" s="2340"/>
      <c r="U419" s="2340"/>
      <c r="V419" s="2340"/>
      <c r="W419" s="2340"/>
      <c r="X419" s="2340"/>
      <c r="Y419" s="2340"/>
      <c r="Z419" s="2340"/>
      <c r="AA419" s="2340"/>
      <c r="AB419" s="2340"/>
      <c r="AC419" s="2340"/>
      <c r="AD419" s="2340"/>
      <c r="AE419" s="2340"/>
      <c r="AF419" s="1200"/>
      <c r="AG419" s="1199"/>
      <c r="AH419" s="1201"/>
      <c r="AI419" s="1201"/>
      <c r="AJ419" s="1201"/>
      <c r="AK419" s="1201"/>
      <c r="AL419" s="1202"/>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211</v>
      </c>
      <c r="F421" s="2336" t="s">
        <v>2025</v>
      </c>
      <c r="G421" s="2336"/>
      <c r="H421" s="2336"/>
      <c r="I421" s="2336"/>
      <c r="J421" s="2336"/>
      <c r="K421" s="2336"/>
      <c r="L421" s="2336"/>
      <c r="M421" s="2336"/>
      <c r="N421" s="2336"/>
      <c r="O421" s="2336"/>
      <c r="P421" s="2336"/>
      <c r="Q421" s="2336"/>
      <c r="R421" s="2336"/>
      <c r="S421" s="2336"/>
      <c r="T421" s="2336"/>
      <c r="U421" s="2336"/>
      <c r="V421" s="2336"/>
      <c r="W421" s="2336"/>
      <c r="X421" s="2336"/>
      <c r="Y421" s="2336"/>
      <c r="Z421" s="2336"/>
      <c r="AA421" s="2336"/>
      <c r="AB421" s="2336"/>
      <c r="AC421" s="2336"/>
      <c r="AD421" s="2336"/>
      <c r="AE421" s="2336"/>
      <c r="AF421" s="1205"/>
      <c r="AG421" s="1205"/>
      <c r="AH421" s="1205"/>
      <c r="AI421" s="1205"/>
      <c r="AJ421" s="1205"/>
      <c r="AK421" s="1205"/>
      <c r="AL421" s="1206"/>
      <c r="AM421" s="16"/>
    </row>
    <row r="422" spans="1:153">
      <c r="A422" s="8"/>
      <c r="C422" s="1190"/>
      <c r="D422" s="125"/>
      <c r="E422" s="306"/>
      <c r="F422" s="2337"/>
      <c r="G422" s="2337"/>
      <c r="H422" s="2337"/>
      <c r="I422" s="2337"/>
      <c r="J422" s="2337"/>
      <c r="K422" s="2337"/>
      <c r="L422" s="2337"/>
      <c r="M422" s="2337"/>
      <c r="N422" s="2337"/>
      <c r="O422" s="2337"/>
      <c r="P422" s="2337"/>
      <c r="Q422" s="2337"/>
      <c r="R422" s="2337"/>
      <c r="S422" s="2337"/>
      <c r="T422" s="2337"/>
      <c r="U422" s="2337"/>
      <c r="V422" s="2337"/>
      <c r="W422" s="2337"/>
      <c r="X422" s="2337"/>
      <c r="Y422" s="2337"/>
      <c r="Z422" s="2337"/>
      <c r="AA422" s="2337"/>
      <c r="AB422" s="2337"/>
      <c r="AC422" s="2337"/>
      <c r="AD422" s="2337"/>
      <c r="AE422" s="2337"/>
      <c r="AF422" s="62"/>
      <c r="AG422" s="71"/>
      <c r="AH422" s="162"/>
      <c r="AI422" s="162"/>
      <c r="AJ422" s="162"/>
      <c r="AK422" s="162"/>
      <c r="AL422" s="1191"/>
      <c r="AM422" s="16"/>
    </row>
    <row r="423" spans="1:153" s="46" customFormat="1" ht="12.75" customHeight="1">
      <c r="A423" s="8"/>
      <c r="B423" s="65"/>
      <c r="C423" s="1190"/>
      <c r="D423" s="125"/>
      <c r="E423" s="306"/>
      <c r="F423" s="2337"/>
      <c r="G423" s="2337"/>
      <c r="H423" s="2337"/>
      <c r="I423" s="2337"/>
      <c r="J423" s="2337"/>
      <c r="K423" s="2337"/>
      <c r="L423" s="2337"/>
      <c r="M423" s="2337"/>
      <c r="N423" s="2337"/>
      <c r="O423" s="2337"/>
      <c r="P423" s="2337"/>
      <c r="Q423" s="2337"/>
      <c r="R423" s="2337"/>
      <c r="S423" s="2337"/>
      <c r="T423" s="2337"/>
      <c r="U423" s="2337"/>
      <c r="V423" s="2337"/>
      <c r="W423" s="2337"/>
      <c r="X423" s="2337"/>
      <c r="Y423" s="2337"/>
      <c r="Z423" s="2337"/>
      <c r="AA423" s="2337"/>
      <c r="AB423" s="2337"/>
      <c r="AC423" s="2337"/>
      <c r="AD423" s="2337"/>
      <c r="AE423" s="2337"/>
      <c r="AF423" s="162"/>
      <c r="AG423" s="162"/>
      <c r="AH423" s="162"/>
      <c r="AI423" s="162"/>
      <c r="AJ423" s="162"/>
      <c r="AK423" s="162"/>
      <c r="AL423" s="1191"/>
      <c r="AM423" s="16"/>
      <c r="AN423" s="439"/>
    </row>
    <row r="424" spans="1:153" s="46" customFormat="1" ht="12.75" customHeight="1">
      <c r="A424" s="8"/>
      <c r="B424" s="65"/>
      <c r="C424" s="1194"/>
      <c r="D424" s="162"/>
      <c r="E424" s="162"/>
      <c r="F424" s="2337"/>
      <c r="G424" s="2337"/>
      <c r="H424" s="2337"/>
      <c r="I424" s="2337"/>
      <c r="J424" s="2337"/>
      <c r="K424" s="2337"/>
      <c r="L424" s="2337"/>
      <c r="M424" s="2337"/>
      <c r="N424" s="2337"/>
      <c r="O424" s="2337"/>
      <c r="P424" s="2337"/>
      <c r="Q424" s="2337"/>
      <c r="R424" s="2337"/>
      <c r="S424" s="2337"/>
      <c r="T424" s="2337"/>
      <c r="U424" s="2337"/>
      <c r="V424" s="2337"/>
      <c r="W424" s="2337"/>
      <c r="X424" s="2337"/>
      <c r="Y424" s="2337"/>
      <c r="Z424" s="2337"/>
      <c r="AA424" s="2337"/>
      <c r="AB424" s="2337"/>
      <c r="AC424" s="2337"/>
      <c r="AD424" s="2337"/>
      <c r="AE424" s="2337"/>
      <c r="AF424" s="162"/>
      <c r="AG424" s="162"/>
      <c r="AH424" s="162"/>
      <c r="AI424" s="162"/>
      <c r="AJ424" s="162"/>
      <c r="AK424" s="162"/>
      <c r="AL424" s="1191"/>
      <c r="AM424" s="16"/>
      <c r="AN424" s="439"/>
    </row>
    <row r="425" spans="1:153" s="46" customFormat="1" ht="12.75" customHeight="1">
      <c r="A425" s="8"/>
      <c r="B425" s="65"/>
      <c r="C425" s="2324" t="s">
        <v>119</v>
      </c>
      <c r="D425" s="1696"/>
      <c r="E425" s="306"/>
      <c r="F425" s="1207" t="s">
        <v>2022</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20" t="s">
        <v>355</v>
      </c>
      <c r="AG425" s="2320"/>
      <c r="AH425" s="2320"/>
      <c r="AI425" s="2320"/>
      <c r="AJ425" s="2320"/>
      <c r="AK425" s="2320"/>
      <c r="AL425" s="2321"/>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24" t="s">
        <v>136</v>
      </c>
      <c r="D427" s="1696"/>
      <c r="E427" s="350"/>
      <c r="F427" s="1207" t="s">
        <v>1069</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20" t="s">
        <v>1066</v>
      </c>
      <c r="AG427" s="2320"/>
      <c r="AH427" s="2320"/>
      <c r="AI427" s="2320"/>
      <c r="AJ427" s="2320"/>
      <c r="AK427" s="2320"/>
      <c r="AL427" s="2321"/>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736</v>
      </c>
      <c r="F431" s="2338" t="s">
        <v>2026</v>
      </c>
      <c r="G431" s="2338"/>
      <c r="H431" s="2338"/>
      <c r="I431" s="2338"/>
      <c r="J431" s="2338"/>
      <c r="K431" s="2338"/>
      <c r="L431" s="2338"/>
      <c r="M431" s="2338"/>
      <c r="N431" s="2338"/>
      <c r="O431" s="2338"/>
      <c r="P431" s="2338"/>
      <c r="Q431" s="2338"/>
      <c r="R431" s="2338"/>
      <c r="S431" s="2338"/>
      <c r="T431" s="2338"/>
      <c r="U431" s="2338"/>
      <c r="V431" s="2338"/>
      <c r="W431" s="2338"/>
      <c r="X431" s="2338"/>
      <c r="Y431" s="2338"/>
      <c r="Z431" s="2338"/>
      <c r="AA431" s="2338"/>
      <c r="AB431" s="2338"/>
      <c r="AC431" s="2338"/>
      <c r="AD431" s="2338"/>
      <c r="AE431" s="2338"/>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39"/>
      <c r="G432" s="2339"/>
      <c r="H432" s="2339"/>
      <c r="I432" s="2339"/>
      <c r="J432" s="2339"/>
      <c r="K432" s="2339"/>
      <c r="L432" s="2339"/>
      <c r="M432" s="2339"/>
      <c r="N432" s="2339"/>
      <c r="O432" s="2339"/>
      <c r="P432" s="2339"/>
      <c r="Q432" s="2339"/>
      <c r="R432" s="2339"/>
      <c r="S432" s="2339"/>
      <c r="T432" s="2339"/>
      <c r="U432" s="2339"/>
      <c r="V432" s="2339"/>
      <c r="W432" s="2339"/>
      <c r="X432" s="2339"/>
      <c r="Y432" s="2339"/>
      <c r="Z432" s="2339"/>
      <c r="AA432" s="2339"/>
      <c r="AB432" s="2339"/>
      <c r="AC432" s="2339"/>
      <c r="AD432" s="2339"/>
      <c r="AE432" s="2339"/>
      <c r="AF432" s="62"/>
      <c r="AG432" s="71"/>
      <c r="AH432" s="162"/>
      <c r="AI432" s="162"/>
      <c r="AJ432" s="162"/>
      <c r="AK432" s="162"/>
      <c r="AL432" s="1191"/>
      <c r="AM432" s="16"/>
      <c r="AN432" s="1136"/>
      <c r="AO432" s="162"/>
      <c r="AP432" s="162"/>
    </row>
    <row r="433" spans="1:60" s="46" customFormat="1" ht="12.45" customHeight="1">
      <c r="A433" s="8"/>
      <c r="B433" s="118"/>
      <c r="C433" s="1212"/>
      <c r="D433" s="1213"/>
      <c r="E433" s="306"/>
      <c r="F433" s="2339"/>
      <c r="G433" s="2339"/>
      <c r="H433" s="2339"/>
      <c r="I433" s="2339"/>
      <c r="J433" s="2339"/>
      <c r="K433" s="2339"/>
      <c r="L433" s="2339"/>
      <c r="M433" s="2339"/>
      <c r="N433" s="2339"/>
      <c r="O433" s="2339"/>
      <c r="P433" s="2339"/>
      <c r="Q433" s="2339"/>
      <c r="R433" s="2339"/>
      <c r="S433" s="2339"/>
      <c r="T433" s="2339"/>
      <c r="U433" s="2339"/>
      <c r="V433" s="2339"/>
      <c r="W433" s="2339"/>
      <c r="X433" s="2339"/>
      <c r="Y433" s="2339"/>
      <c r="Z433" s="2339"/>
      <c r="AA433" s="2339"/>
      <c r="AB433" s="2339"/>
      <c r="AC433" s="2339"/>
      <c r="AD433" s="2339"/>
      <c r="AE433" s="2339"/>
      <c r="AF433" s="162"/>
      <c r="AG433" s="162"/>
      <c r="AH433" s="162"/>
      <c r="AI433" s="162"/>
      <c r="AJ433" s="162"/>
      <c r="AK433" s="162"/>
      <c r="AL433" s="1191"/>
      <c r="AM433" s="16"/>
      <c r="AN433" s="439"/>
      <c r="AO433" s="162"/>
      <c r="AP433" s="162"/>
    </row>
    <row r="434" spans="1:60" s="46" customFormat="1" ht="12.75" customHeight="1">
      <c r="A434" s="8"/>
      <c r="B434" s="118"/>
      <c r="C434" s="2324" t="s">
        <v>119</v>
      </c>
      <c r="D434" s="1696"/>
      <c r="E434" s="306"/>
      <c r="F434" s="1180" t="s">
        <v>2024</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20" t="s">
        <v>355</v>
      </c>
      <c r="AG434" s="2320"/>
      <c r="AH434" s="2320"/>
      <c r="AI434" s="2320"/>
      <c r="AJ434" s="2320"/>
      <c r="AK434" s="2320"/>
      <c r="AL434" s="2321"/>
      <c r="AM434" s="16"/>
      <c r="AN434" s="439"/>
      <c r="AO434" s="162"/>
      <c r="AP434" s="162"/>
    </row>
    <row r="435" spans="1:60" s="46" customFormat="1" ht="12.75" customHeight="1">
      <c r="A435" s="8"/>
      <c r="B435" s="118"/>
      <c r="C435" s="1424"/>
      <c r="D435" s="1222"/>
      <c r="E435" s="1188"/>
      <c r="F435" s="1425"/>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3"/>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4"/>
      <c r="D437" s="1205"/>
      <c r="E437" s="1184" t="s">
        <v>733</v>
      </c>
      <c r="F437" s="2338" t="s">
        <v>2027</v>
      </c>
      <c r="G437" s="2338"/>
      <c r="H437" s="2338"/>
      <c r="I437" s="2338"/>
      <c r="J437" s="2338"/>
      <c r="K437" s="2338"/>
      <c r="L437" s="2338"/>
      <c r="M437" s="2338"/>
      <c r="N437" s="2338"/>
      <c r="O437" s="2338"/>
      <c r="P437" s="2338"/>
      <c r="Q437" s="2338"/>
      <c r="R437" s="2338"/>
      <c r="S437" s="2338"/>
      <c r="T437" s="2338"/>
      <c r="U437" s="2338"/>
      <c r="V437" s="2338"/>
      <c r="W437" s="2338"/>
      <c r="X437" s="2338"/>
      <c r="Y437" s="2338"/>
      <c r="Z437" s="2338"/>
      <c r="AA437" s="2338"/>
      <c r="AB437" s="2338"/>
      <c r="AC437" s="2338"/>
      <c r="AD437" s="2338"/>
      <c r="AE437" s="2338"/>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39"/>
      <c r="G438" s="2339"/>
      <c r="H438" s="2339"/>
      <c r="I438" s="2339"/>
      <c r="J438" s="2339"/>
      <c r="K438" s="2339"/>
      <c r="L438" s="2339"/>
      <c r="M438" s="2339"/>
      <c r="N438" s="2339"/>
      <c r="O438" s="2339"/>
      <c r="P438" s="2339"/>
      <c r="Q438" s="2339"/>
      <c r="R438" s="2339"/>
      <c r="S438" s="2339"/>
      <c r="T438" s="2339"/>
      <c r="U438" s="2339"/>
      <c r="V438" s="2339"/>
      <c r="W438" s="2339"/>
      <c r="X438" s="2339"/>
      <c r="Y438" s="2339"/>
      <c r="Z438" s="2339"/>
      <c r="AA438" s="2339"/>
      <c r="AB438" s="2339"/>
      <c r="AC438" s="2339"/>
      <c r="AD438" s="2339"/>
      <c r="AE438" s="2339"/>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339"/>
      <c r="G439" s="2339"/>
      <c r="H439" s="2339"/>
      <c r="I439" s="2339"/>
      <c r="J439" s="2339"/>
      <c r="K439" s="2339"/>
      <c r="L439" s="2339"/>
      <c r="M439" s="2339"/>
      <c r="N439" s="2339"/>
      <c r="O439" s="2339"/>
      <c r="P439" s="2339"/>
      <c r="Q439" s="2339"/>
      <c r="R439" s="2339"/>
      <c r="S439" s="2339"/>
      <c r="T439" s="2339"/>
      <c r="U439" s="2339"/>
      <c r="V439" s="2339"/>
      <c r="W439" s="2339"/>
      <c r="X439" s="2339"/>
      <c r="Y439" s="2339"/>
      <c r="Z439" s="2339"/>
      <c r="AA439" s="2339"/>
      <c r="AB439" s="2339"/>
      <c r="AC439" s="2339"/>
      <c r="AD439" s="2339"/>
      <c r="AE439" s="2339"/>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39"/>
      <c r="G440" s="2339"/>
      <c r="H440" s="2339"/>
      <c r="I440" s="2339"/>
      <c r="J440" s="2339"/>
      <c r="K440" s="2339"/>
      <c r="L440" s="2339"/>
      <c r="M440" s="2339"/>
      <c r="N440" s="2339"/>
      <c r="O440" s="2339"/>
      <c r="P440" s="2339"/>
      <c r="Q440" s="2339"/>
      <c r="R440" s="2339"/>
      <c r="S440" s="2339"/>
      <c r="T440" s="2339"/>
      <c r="U440" s="2339"/>
      <c r="V440" s="2339"/>
      <c r="W440" s="2339"/>
      <c r="X440" s="2339"/>
      <c r="Y440" s="2339"/>
      <c r="Z440" s="2339"/>
      <c r="AA440" s="2339"/>
      <c r="AB440" s="2339"/>
      <c r="AC440" s="2339"/>
      <c r="AD440" s="2339"/>
      <c r="AE440" s="2339"/>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39"/>
      <c r="G441" s="2339"/>
      <c r="H441" s="2339"/>
      <c r="I441" s="2339"/>
      <c r="J441" s="2339"/>
      <c r="K441" s="2339"/>
      <c r="L441" s="2339"/>
      <c r="M441" s="2339"/>
      <c r="N441" s="2339"/>
      <c r="O441" s="2339"/>
      <c r="P441" s="2339"/>
      <c r="Q441" s="2339"/>
      <c r="R441" s="2339"/>
      <c r="S441" s="2339"/>
      <c r="T441" s="2339"/>
      <c r="U441" s="2339"/>
      <c r="V441" s="2339"/>
      <c r="W441" s="2339"/>
      <c r="X441" s="2339"/>
      <c r="Y441" s="2339"/>
      <c r="Z441" s="2339"/>
      <c r="AA441" s="2339"/>
      <c r="AB441" s="2339"/>
      <c r="AC441" s="2339"/>
      <c r="AD441" s="2339"/>
      <c r="AE441" s="2339"/>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39"/>
      <c r="G442" s="2339"/>
      <c r="H442" s="2339"/>
      <c r="I442" s="2339"/>
      <c r="J442" s="2339"/>
      <c r="K442" s="2339"/>
      <c r="L442" s="2339"/>
      <c r="M442" s="2339"/>
      <c r="N442" s="2339"/>
      <c r="O442" s="2339"/>
      <c r="P442" s="2339"/>
      <c r="Q442" s="2339"/>
      <c r="R442" s="2339"/>
      <c r="S442" s="2339"/>
      <c r="T442" s="2339"/>
      <c r="U442" s="2339"/>
      <c r="V442" s="2339"/>
      <c r="W442" s="2339"/>
      <c r="X442" s="2339"/>
      <c r="Y442" s="2339"/>
      <c r="Z442" s="2339"/>
      <c r="AA442" s="2339"/>
      <c r="AB442" s="2339"/>
      <c r="AC442" s="2339"/>
      <c r="AD442" s="2339"/>
      <c r="AE442" s="2339"/>
      <c r="AF442" s="1311"/>
      <c r="AG442" s="1311"/>
      <c r="AH442" s="1311"/>
      <c r="AI442" s="1311"/>
      <c r="AJ442" s="1311"/>
      <c r="AK442" s="1311"/>
      <c r="AL442" s="1318"/>
      <c r="AM442" s="16"/>
      <c r="AN442" s="439"/>
    </row>
    <row r="443" spans="1:60" s="46" customFormat="1" ht="12.75" customHeight="1">
      <c r="A443" s="8"/>
      <c r="B443" s="118"/>
      <c r="C443" s="1319"/>
      <c r="D443" s="1312"/>
      <c r="E443" s="350"/>
      <c r="F443" s="2339"/>
      <c r="G443" s="2339"/>
      <c r="H443" s="2339"/>
      <c r="I443" s="2339"/>
      <c r="J443" s="2339"/>
      <c r="K443" s="2339"/>
      <c r="L443" s="2339"/>
      <c r="M443" s="2339"/>
      <c r="N443" s="2339"/>
      <c r="O443" s="2339"/>
      <c r="P443" s="2339"/>
      <c r="Q443" s="2339"/>
      <c r="R443" s="2339"/>
      <c r="S443" s="2339"/>
      <c r="T443" s="2339"/>
      <c r="U443" s="2339"/>
      <c r="V443" s="2339"/>
      <c r="W443" s="2339"/>
      <c r="X443" s="2339"/>
      <c r="Y443" s="2339"/>
      <c r="Z443" s="2339"/>
      <c r="AA443" s="2339"/>
      <c r="AB443" s="2339"/>
      <c r="AC443" s="2339"/>
      <c r="AD443" s="2339"/>
      <c r="AE443" s="2339"/>
      <c r="AF443" s="1311"/>
      <c r="AG443" s="1311"/>
      <c r="AH443" s="1311"/>
      <c r="AI443" s="1311"/>
      <c r="AJ443" s="1311"/>
      <c r="AK443" s="1311"/>
      <c r="AL443" s="1318"/>
      <c r="AM443" s="16"/>
      <c r="AN443" s="439"/>
    </row>
    <row r="444" spans="1:60" s="46" customFormat="1" ht="12.75" customHeight="1">
      <c r="A444" s="8"/>
      <c r="B444" s="118"/>
      <c r="C444" s="1319"/>
      <c r="D444" s="1312"/>
      <c r="E444" s="350"/>
      <c r="F444" s="2339"/>
      <c r="G444" s="2339"/>
      <c r="H444" s="2339"/>
      <c r="I444" s="2339"/>
      <c r="J444" s="2339"/>
      <c r="K444" s="2339"/>
      <c r="L444" s="2339"/>
      <c r="M444" s="2339"/>
      <c r="N444" s="2339"/>
      <c r="O444" s="2339"/>
      <c r="P444" s="2339"/>
      <c r="Q444" s="2339"/>
      <c r="R444" s="2339"/>
      <c r="S444" s="2339"/>
      <c r="T444" s="2339"/>
      <c r="U444" s="2339"/>
      <c r="V444" s="2339"/>
      <c r="W444" s="2339"/>
      <c r="X444" s="2339"/>
      <c r="Y444" s="2339"/>
      <c r="Z444" s="2339"/>
      <c r="AA444" s="2339"/>
      <c r="AB444" s="2339"/>
      <c r="AC444" s="2339"/>
      <c r="AD444" s="2339"/>
      <c r="AE444" s="2339"/>
      <c r="AF444" s="1311"/>
      <c r="AG444" s="1311"/>
      <c r="AH444" s="1311"/>
      <c r="AI444" s="1311"/>
      <c r="AJ444" s="1311"/>
      <c r="AK444" s="1311"/>
      <c r="AL444" s="1318"/>
      <c r="AM444" s="16"/>
      <c r="AN444" s="439"/>
    </row>
    <row r="445" spans="1:60" s="46" customFormat="1" ht="17.25" customHeight="1">
      <c r="A445" s="8"/>
      <c r="B445" s="118"/>
      <c r="C445" s="1319"/>
      <c r="D445" s="1312"/>
      <c r="E445" s="350"/>
      <c r="F445" s="2339"/>
      <c r="G445" s="2339"/>
      <c r="H445" s="2339"/>
      <c r="I445" s="2339"/>
      <c r="J445" s="2339"/>
      <c r="K445" s="2339"/>
      <c r="L445" s="2339"/>
      <c r="M445" s="2339"/>
      <c r="N445" s="2339"/>
      <c r="O445" s="2339"/>
      <c r="P445" s="2339"/>
      <c r="Q445" s="2339"/>
      <c r="R445" s="2339"/>
      <c r="S445" s="2339"/>
      <c r="T445" s="2339"/>
      <c r="U445" s="2339"/>
      <c r="V445" s="2339"/>
      <c r="W445" s="2339"/>
      <c r="X445" s="2339"/>
      <c r="Y445" s="2339"/>
      <c r="Z445" s="2339"/>
      <c r="AA445" s="2339"/>
      <c r="AB445" s="2339"/>
      <c r="AC445" s="2339"/>
      <c r="AD445" s="2339"/>
      <c r="AE445" s="2339"/>
      <c r="AF445" s="162"/>
      <c r="AG445" s="162"/>
      <c r="AH445" s="162"/>
      <c r="AI445" s="162"/>
      <c r="AJ445" s="162"/>
      <c r="AK445" s="162"/>
      <c r="AL445" s="1191"/>
      <c r="AM445" s="16"/>
      <c r="AN445" s="439"/>
    </row>
    <row r="446" spans="1:60" s="46" customFormat="1" ht="12.75" customHeight="1">
      <c r="A446" s="8"/>
      <c r="B446" s="65"/>
      <c r="C446" s="2324" t="s">
        <v>119</v>
      </c>
      <c r="D446" s="1696"/>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0" t="s">
        <v>355</v>
      </c>
      <c r="AG446" s="2320"/>
      <c r="AH446" s="2320"/>
      <c r="AI446" s="2320"/>
      <c r="AJ446" s="2320"/>
      <c r="AK446" s="2320"/>
      <c r="AL446" s="2321"/>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1"/>
      <c r="AM448" s="16"/>
      <c r="AN448" s="439"/>
    </row>
    <row r="449" spans="1:49" s="46" customFormat="1" ht="12.75" customHeight="1">
      <c r="A449" s="8"/>
      <c r="B449" s="118"/>
      <c r="C449" s="1182"/>
      <c r="D449" s="1183"/>
      <c r="E449" s="1184" t="s">
        <v>734</v>
      </c>
      <c r="F449" s="2338" t="s">
        <v>2030</v>
      </c>
      <c r="G449" s="2338"/>
      <c r="H449" s="2338"/>
      <c r="I449" s="2338"/>
      <c r="J449" s="2338"/>
      <c r="K449" s="2338"/>
      <c r="L449" s="2338"/>
      <c r="M449" s="2338"/>
      <c r="N449" s="2338"/>
      <c r="O449" s="2338"/>
      <c r="P449" s="2338"/>
      <c r="Q449" s="2338"/>
      <c r="R449" s="2338"/>
      <c r="S449" s="2338"/>
      <c r="T449" s="2338"/>
      <c r="U449" s="2338"/>
      <c r="V449" s="2338"/>
      <c r="W449" s="2338"/>
      <c r="X449" s="2338"/>
      <c r="Y449" s="2338"/>
      <c r="Z449" s="2338"/>
      <c r="AA449" s="2338"/>
      <c r="AB449" s="2338"/>
      <c r="AC449" s="2338"/>
      <c r="AD449" s="2338"/>
      <c r="AE449" s="2338"/>
      <c r="AF449" s="1183"/>
      <c r="AG449" s="1183"/>
      <c r="AH449" s="1183"/>
      <c r="AI449" s="1183"/>
      <c r="AJ449" s="1183"/>
      <c r="AK449" s="1183"/>
      <c r="AL449" s="1211"/>
      <c r="AM449" s="16"/>
      <c r="AN449" s="439"/>
    </row>
    <row r="450" spans="1:49" s="46" customFormat="1" ht="12.75" customHeight="1">
      <c r="A450" s="8"/>
      <c r="B450" s="118"/>
      <c r="C450" s="1319"/>
      <c r="D450" s="1312"/>
      <c r="E450" s="350"/>
      <c r="F450" s="2339"/>
      <c r="G450" s="2339"/>
      <c r="H450" s="2339"/>
      <c r="I450" s="2339"/>
      <c r="J450" s="2339"/>
      <c r="K450" s="2339"/>
      <c r="L450" s="2339"/>
      <c r="M450" s="2339"/>
      <c r="N450" s="2339"/>
      <c r="O450" s="2339"/>
      <c r="P450" s="2339"/>
      <c r="Q450" s="2339"/>
      <c r="R450" s="2339"/>
      <c r="S450" s="2339"/>
      <c r="T450" s="2339"/>
      <c r="U450" s="2339"/>
      <c r="V450" s="2339"/>
      <c r="W450" s="2339"/>
      <c r="X450" s="2339"/>
      <c r="Y450" s="2339"/>
      <c r="Z450" s="2339"/>
      <c r="AA450" s="2339"/>
      <c r="AB450" s="2339"/>
      <c r="AC450" s="2339"/>
      <c r="AD450" s="2339"/>
      <c r="AE450" s="2339"/>
      <c r="AF450" s="1382"/>
      <c r="AG450" s="1313"/>
      <c r="AH450" s="1313"/>
      <c r="AI450" s="1313"/>
      <c r="AJ450" s="1313"/>
      <c r="AK450" s="1313"/>
      <c r="AL450" s="1314"/>
      <c r="AM450" s="16"/>
      <c r="AN450" s="439"/>
    </row>
    <row r="451" spans="1:49" s="46" customFormat="1" ht="12.75" customHeight="1">
      <c r="A451" s="8"/>
      <c r="B451" s="118"/>
      <c r="C451" s="1319"/>
      <c r="D451" s="1312"/>
      <c r="E451" s="350"/>
      <c r="F451" s="2339"/>
      <c r="G451" s="2339"/>
      <c r="H451" s="2339"/>
      <c r="I451" s="2339"/>
      <c r="J451" s="2339"/>
      <c r="K451" s="2339"/>
      <c r="L451" s="2339"/>
      <c r="M451" s="2339"/>
      <c r="N451" s="2339"/>
      <c r="O451" s="2339"/>
      <c r="P451" s="2339"/>
      <c r="Q451" s="2339"/>
      <c r="R451" s="2339"/>
      <c r="S451" s="2339"/>
      <c r="T451" s="2339"/>
      <c r="U451" s="2339"/>
      <c r="V451" s="2339"/>
      <c r="W451" s="2339"/>
      <c r="X451" s="2339"/>
      <c r="Y451" s="2339"/>
      <c r="Z451" s="2339"/>
      <c r="AA451" s="2339"/>
      <c r="AB451" s="2339"/>
      <c r="AC451" s="2339"/>
      <c r="AD451" s="2339"/>
      <c r="AE451" s="2339"/>
      <c r="AF451" s="1382"/>
      <c r="AG451" s="1313"/>
      <c r="AH451" s="1313"/>
      <c r="AI451" s="1313"/>
      <c r="AJ451" s="1313"/>
      <c r="AK451" s="1313"/>
      <c r="AL451" s="1314"/>
      <c r="AM451" s="16"/>
      <c r="AN451" s="439"/>
    </row>
    <row r="452" spans="1:49" s="46" customFormat="1" ht="12.75" customHeight="1">
      <c r="A452" s="8"/>
      <c r="B452" s="118"/>
      <c r="C452" s="1319"/>
      <c r="D452" s="1312"/>
      <c r="E452" s="350"/>
      <c r="F452" s="2339"/>
      <c r="G452" s="2339"/>
      <c r="H452" s="2339"/>
      <c r="I452" s="2339"/>
      <c r="J452" s="2339"/>
      <c r="K452" s="2339"/>
      <c r="L452" s="2339"/>
      <c r="M452" s="2339"/>
      <c r="N452" s="2339"/>
      <c r="O452" s="2339"/>
      <c r="P452" s="2339"/>
      <c r="Q452" s="2339"/>
      <c r="R452" s="2339"/>
      <c r="S452" s="2339"/>
      <c r="T452" s="2339"/>
      <c r="U452" s="2339"/>
      <c r="V452" s="2339"/>
      <c r="W452" s="2339"/>
      <c r="X452" s="2339"/>
      <c r="Y452" s="2339"/>
      <c r="Z452" s="2339"/>
      <c r="AA452" s="2339"/>
      <c r="AB452" s="2339"/>
      <c r="AC452" s="2339"/>
      <c r="AD452" s="2339"/>
      <c r="AE452" s="2339"/>
      <c r="AF452" s="162"/>
      <c r="AG452" s="162"/>
      <c r="AH452" s="162"/>
      <c r="AI452" s="162"/>
      <c r="AJ452" s="162"/>
      <c r="AK452" s="162"/>
      <c r="AL452" s="1191"/>
      <c r="AM452" s="16"/>
      <c r="AN452" s="439"/>
    </row>
    <row r="453" spans="1:49" s="162" customFormat="1" ht="12.75" customHeight="1">
      <c r="A453" s="8"/>
      <c r="B453" s="118"/>
      <c r="C453" s="2324" t="s">
        <v>136</v>
      </c>
      <c r="D453" s="1696"/>
      <c r="E453" s="350"/>
      <c r="F453" s="1180" t="s">
        <v>2029</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20" t="s">
        <v>355</v>
      </c>
      <c r="AG453" s="2320"/>
      <c r="AH453" s="2320"/>
      <c r="AI453" s="2320"/>
      <c r="AJ453" s="2320"/>
      <c r="AK453" s="2320"/>
      <c r="AL453" s="2321"/>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2015</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552" t="s">
        <v>136</v>
      </c>
      <c r="D457" s="2553"/>
      <c r="E457" s="1184" t="s">
        <v>1071</v>
      </c>
      <c r="F457" s="2338" t="s">
        <v>1073</v>
      </c>
      <c r="G457" s="2338"/>
      <c r="H457" s="2338"/>
      <c r="I457" s="2338"/>
      <c r="J457" s="2338"/>
      <c r="K457" s="2338"/>
      <c r="L457" s="2338"/>
      <c r="M457" s="2338"/>
      <c r="N457" s="2338"/>
      <c r="O457" s="2338"/>
      <c r="P457" s="2338"/>
      <c r="Q457" s="2338"/>
      <c r="R457" s="2338"/>
      <c r="S457" s="2338"/>
      <c r="T457" s="2338"/>
      <c r="U457" s="2338"/>
      <c r="V457" s="2338"/>
      <c r="W457" s="2338"/>
      <c r="X457" s="2338"/>
      <c r="Y457" s="2338"/>
      <c r="Z457" s="2338"/>
      <c r="AA457" s="2338"/>
      <c r="AB457" s="2338"/>
      <c r="AC457" s="2338"/>
      <c r="AD457" s="2338"/>
      <c r="AE457" s="2338"/>
      <c r="AF457" s="2548" t="s">
        <v>355</v>
      </c>
      <c r="AG457" s="2548"/>
      <c r="AH457" s="2548"/>
      <c r="AI457" s="2548"/>
      <c r="AJ457" s="2548"/>
      <c r="AK457" s="2548"/>
      <c r="AL457" s="2549"/>
      <c r="AM457" s="16"/>
      <c r="AN457" s="1141"/>
      <c r="AO457" s="162"/>
      <c r="AP457" s="162"/>
      <c r="AQ457" s="249"/>
    </row>
    <row r="458" spans="1:49" s="137" customFormat="1" ht="12.75" customHeight="1">
      <c r="A458" s="8"/>
      <c r="B458" s="118"/>
      <c r="C458" s="1319"/>
      <c r="D458" s="1312"/>
      <c r="E458" s="350"/>
      <c r="F458" s="2339"/>
      <c r="G458" s="2339"/>
      <c r="H458" s="2339"/>
      <c r="I458" s="2339"/>
      <c r="J458" s="2339"/>
      <c r="K458" s="2339"/>
      <c r="L458" s="2339"/>
      <c r="M458" s="2339"/>
      <c r="N458" s="2339"/>
      <c r="O458" s="2339"/>
      <c r="P458" s="2339"/>
      <c r="Q458" s="2339"/>
      <c r="R458" s="2339"/>
      <c r="S458" s="2339"/>
      <c r="T458" s="2339"/>
      <c r="U458" s="2339"/>
      <c r="V458" s="2339"/>
      <c r="W458" s="2339"/>
      <c r="X458" s="2339"/>
      <c r="Y458" s="2339"/>
      <c r="Z458" s="2339"/>
      <c r="AA458" s="2339"/>
      <c r="AB458" s="2339"/>
      <c r="AC458" s="2339"/>
      <c r="AD458" s="2339"/>
      <c r="AE458" s="2339"/>
      <c r="AF458" s="1313"/>
      <c r="AG458" s="1313"/>
      <c r="AH458" s="1313"/>
      <c r="AI458" s="1313"/>
      <c r="AJ458" s="1313"/>
      <c r="AK458" s="1313"/>
      <c r="AL458" s="1314"/>
      <c r="AM458" s="16"/>
      <c r="AN458" s="1142"/>
      <c r="AO458" s="46" t="s">
        <v>136</v>
      </c>
      <c r="AP458" s="162">
        <v>0</v>
      </c>
      <c r="AQ458" s="249"/>
    </row>
    <row r="459" spans="1:49" s="46" customFormat="1" ht="17.7" customHeight="1">
      <c r="A459" s="8"/>
      <c r="B459" s="118"/>
      <c r="C459" s="1186"/>
      <c r="D459" s="1187"/>
      <c r="E459" s="1188"/>
      <c r="F459" s="2340"/>
      <c r="G459" s="2340"/>
      <c r="H459" s="2340"/>
      <c r="I459" s="2340"/>
      <c r="J459" s="2340"/>
      <c r="K459" s="2340"/>
      <c r="L459" s="2340"/>
      <c r="M459" s="2340"/>
      <c r="N459" s="2340"/>
      <c r="O459" s="2340"/>
      <c r="P459" s="2340"/>
      <c r="Q459" s="2340"/>
      <c r="R459" s="2340"/>
      <c r="S459" s="2340"/>
      <c r="T459" s="2340"/>
      <c r="U459" s="2340"/>
      <c r="V459" s="2340"/>
      <c r="W459" s="2340"/>
      <c r="X459" s="2340"/>
      <c r="Y459" s="2340"/>
      <c r="Z459" s="2340"/>
      <c r="AA459" s="2340"/>
      <c r="AB459" s="2340"/>
      <c r="AC459" s="2340"/>
      <c r="AD459" s="2340"/>
      <c r="AE459" s="2340"/>
      <c r="AF459" s="1316"/>
      <c r="AG459" s="1316"/>
      <c r="AH459" s="1316"/>
      <c r="AI459" s="1316"/>
      <c r="AJ459" s="1316"/>
      <c r="AK459" s="1316"/>
      <c r="AL459" s="1317"/>
      <c r="AM459" s="16"/>
      <c r="AN459" s="1143"/>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1075</v>
      </c>
      <c r="AP460" s="46">
        <v>5</v>
      </c>
      <c r="AQ460" s="250"/>
    </row>
    <row r="461" spans="1:49" s="46" customFormat="1" ht="12.75" customHeight="1">
      <c r="A461" s="8"/>
      <c r="B461" s="65"/>
      <c r="C461" s="2552" t="s">
        <v>136</v>
      </c>
      <c r="D461" s="2553"/>
      <c r="E461" s="1184" t="s">
        <v>1072</v>
      </c>
      <c r="F461" s="2338" t="s">
        <v>2077</v>
      </c>
      <c r="G461" s="2338"/>
      <c r="H461" s="2338"/>
      <c r="I461" s="2338"/>
      <c r="J461" s="2338"/>
      <c r="K461" s="2338"/>
      <c r="L461" s="2338"/>
      <c r="M461" s="2338"/>
      <c r="N461" s="2338"/>
      <c r="O461" s="2338"/>
      <c r="P461" s="2338"/>
      <c r="Q461" s="2338"/>
      <c r="R461" s="2338"/>
      <c r="S461" s="2338"/>
      <c r="T461" s="2338"/>
      <c r="U461" s="2338"/>
      <c r="V461" s="2338"/>
      <c r="W461" s="2338"/>
      <c r="X461" s="2338"/>
      <c r="Y461" s="2338"/>
      <c r="Z461" s="2338"/>
      <c r="AA461" s="2338"/>
      <c r="AB461" s="2338"/>
      <c r="AC461" s="2338"/>
      <c r="AD461" s="2338"/>
      <c r="AE461" s="2338"/>
      <c r="AF461" s="2548" t="s">
        <v>355</v>
      </c>
      <c r="AG461" s="2548"/>
      <c r="AH461" s="2548"/>
      <c r="AI461" s="2548"/>
      <c r="AJ461" s="2548"/>
      <c r="AK461" s="2548"/>
      <c r="AL461" s="2549"/>
      <c r="AM461" s="16"/>
      <c r="AN461" s="1144"/>
      <c r="AO461" s="46" t="s">
        <v>1476</v>
      </c>
      <c r="AP461" s="46">
        <v>5</v>
      </c>
      <c r="AQ461" s="251"/>
    </row>
    <row r="462" spans="1:49" s="46" customFormat="1" ht="12.75" customHeight="1">
      <c r="A462" s="8"/>
      <c r="B462" s="65"/>
      <c r="C462" s="1190"/>
      <c r="D462" s="125"/>
      <c r="E462" s="306"/>
      <c r="F462" s="2339"/>
      <c r="G462" s="2339"/>
      <c r="H462" s="2339"/>
      <c r="I462" s="2339"/>
      <c r="J462" s="2339"/>
      <c r="K462" s="2339"/>
      <c r="L462" s="2339"/>
      <c r="M462" s="2339"/>
      <c r="N462" s="2339"/>
      <c r="O462" s="2339"/>
      <c r="P462" s="2339"/>
      <c r="Q462" s="2339"/>
      <c r="R462" s="2339"/>
      <c r="S462" s="2339"/>
      <c r="T462" s="2339"/>
      <c r="U462" s="2339"/>
      <c r="V462" s="2339"/>
      <c r="W462" s="2339"/>
      <c r="X462" s="2339"/>
      <c r="Y462" s="2339"/>
      <c r="Z462" s="2339"/>
      <c r="AA462" s="2339"/>
      <c r="AB462" s="2339"/>
      <c r="AC462" s="2339"/>
      <c r="AD462" s="2339"/>
      <c r="AE462" s="2339"/>
      <c r="AF462" s="62"/>
      <c r="AG462" s="71"/>
      <c r="AH462" s="162"/>
      <c r="AI462" s="162"/>
      <c r="AJ462" s="162"/>
      <c r="AK462" s="162"/>
      <c r="AL462" s="1191"/>
      <c r="AM462" s="16"/>
      <c r="AN462" s="1144"/>
      <c r="AO462" s="46" t="s">
        <v>1472</v>
      </c>
      <c r="AP462" s="46">
        <v>5</v>
      </c>
    </row>
    <row r="463" spans="1:49" s="46" customFormat="1" ht="12.75" customHeight="1">
      <c r="A463" s="8"/>
      <c r="B463" s="65"/>
      <c r="C463" s="1190"/>
      <c r="D463" s="125"/>
      <c r="E463" s="306"/>
      <c r="F463" s="2339"/>
      <c r="G463" s="2339"/>
      <c r="H463" s="2339"/>
      <c r="I463" s="2339"/>
      <c r="J463" s="2339"/>
      <c r="K463" s="2339"/>
      <c r="L463" s="2339"/>
      <c r="M463" s="2339"/>
      <c r="N463" s="2339"/>
      <c r="O463" s="2339"/>
      <c r="P463" s="2339"/>
      <c r="Q463" s="2339"/>
      <c r="R463" s="2339"/>
      <c r="S463" s="2339"/>
      <c r="T463" s="2339"/>
      <c r="U463" s="2339"/>
      <c r="V463" s="2339"/>
      <c r="W463" s="2339"/>
      <c r="X463" s="2339"/>
      <c r="Y463" s="2339"/>
      <c r="Z463" s="2339"/>
      <c r="AA463" s="2339"/>
      <c r="AB463" s="2339"/>
      <c r="AC463" s="2339"/>
      <c r="AD463" s="2339"/>
      <c r="AE463" s="2339"/>
      <c r="AF463" s="62"/>
      <c r="AG463" s="71"/>
      <c r="AH463" s="162"/>
      <c r="AI463" s="162"/>
      <c r="AJ463" s="162"/>
      <c r="AK463" s="162"/>
      <c r="AL463" s="1191"/>
      <c r="AM463" s="16"/>
      <c r="AN463" s="1144"/>
      <c r="AO463" s="46" t="s">
        <v>1473</v>
      </c>
      <c r="AP463" s="46">
        <v>5</v>
      </c>
    </row>
    <row r="464" spans="1:49" s="46" customFormat="1" ht="12.75" customHeight="1">
      <c r="A464" s="8"/>
      <c r="B464" s="118"/>
      <c r="C464" s="1186"/>
      <c r="D464" s="1187"/>
      <c r="E464" s="1188"/>
      <c r="F464" s="2340"/>
      <c r="G464" s="2340"/>
      <c r="H464" s="2340"/>
      <c r="I464" s="2340"/>
      <c r="J464" s="2340"/>
      <c r="K464" s="2340"/>
      <c r="L464" s="2340"/>
      <c r="M464" s="2340"/>
      <c r="N464" s="2340"/>
      <c r="O464" s="2340"/>
      <c r="P464" s="2340"/>
      <c r="Q464" s="2340"/>
      <c r="R464" s="2340"/>
      <c r="S464" s="2340"/>
      <c r="T464" s="2340"/>
      <c r="U464" s="2340"/>
      <c r="V464" s="2340"/>
      <c r="W464" s="2340"/>
      <c r="X464" s="2340"/>
      <c r="Y464" s="2340"/>
      <c r="Z464" s="2340"/>
      <c r="AA464" s="2340"/>
      <c r="AB464" s="2340"/>
      <c r="AC464" s="2340"/>
      <c r="AD464" s="2340"/>
      <c r="AE464" s="2340"/>
      <c r="AF464" s="1316"/>
      <c r="AG464" s="1316"/>
      <c r="AH464" s="1316"/>
      <c r="AI464" s="1316"/>
      <c r="AJ464" s="1316"/>
      <c r="AK464" s="1316"/>
      <c r="AL464" s="1317"/>
      <c r="AM464" s="16"/>
      <c r="AN464" s="439"/>
      <c r="AO464" s="46" t="s">
        <v>1474</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1352</v>
      </c>
      <c r="AP465" s="46">
        <v>5</v>
      </c>
    </row>
    <row r="466" spans="1:54" s="46" customFormat="1" ht="12.75" customHeight="1">
      <c r="A466" s="8"/>
      <c r="B466" s="65"/>
      <c r="C466" s="1327"/>
      <c r="D466" s="1252"/>
      <c r="E466" s="1184" t="s">
        <v>1070</v>
      </c>
      <c r="F466" s="2336" t="s">
        <v>2078</v>
      </c>
      <c r="G466" s="2336"/>
      <c r="H466" s="2336"/>
      <c r="I466" s="2336"/>
      <c r="J466" s="2336"/>
      <c r="K466" s="2336"/>
      <c r="L466" s="2336"/>
      <c r="M466" s="2336"/>
      <c r="N466" s="2336"/>
      <c r="O466" s="2336"/>
      <c r="P466" s="2336"/>
      <c r="Q466" s="2336"/>
      <c r="R466" s="2336"/>
      <c r="S466" s="2336"/>
      <c r="T466" s="2336"/>
      <c r="U466" s="2336"/>
      <c r="V466" s="2336"/>
      <c r="W466" s="2336"/>
      <c r="X466" s="2336"/>
      <c r="Y466" s="2336"/>
      <c r="Z466" s="2336"/>
      <c r="AA466" s="2336"/>
      <c r="AB466" s="2336"/>
      <c r="AC466" s="2336"/>
      <c r="AD466" s="2336"/>
      <c r="AE466" s="2336"/>
      <c r="AF466" s="2336"/>
      <c r="AG466" s="1326"/>
      <c r="AH466" s="1183"/>
      <c r="AI466" s="1183"/>
      <c r="AJ466" s="1183"/>
      <c r="AK466" s="1183"/>
      <c r="AL466" s="1211"/>
      <c r="AM466" s="16"/>
      <c r="AN466" s="439"/>
      <c r="AO466" s="46" t="s">
        <v>1475</v>
      </c>
      <c r="AP466" s="46">
        <v>1</v>
      </c>
    </row>
    <row r="467" spans="1:54" s="46" customFormat="1" ht="12.75" customHeight="1">
      <c r="A467" s="8"/>
      <c r="B467" s="65"/>
      <c r="C467" s="1190"/>
      <c r="D467" s="125"/>
      <c r="E467" s="306"/>
      <c r="F467" s="2337"/>
      <c r="G467" s="2337"/>
      <c r="H467" s="2337"/>
      <c r="I467" s="2337"/>
      <c r="J467" s="2337"/>
      <c r="K467" s="2337"/>
      <c r="L467" s="2337"/>
      <c r="M467" s="2337"/>
      <c r="N467" s="2337"/>
      <c r="O467" s="2337"/>
      <c r="P467" s="2337"/>
      <c r="Q467" s="2337"/>
      <c r="R467" s="2337"/>
      <c r="S467" s="2337"/>
      <c r="T467" s="2337"/>
      <c r="U467" s="2337"/>
      <c r="V467" s="2337"/>
      <c r="W467" s="2337"/>
      <c r="X467" s="2337"/>
      <c r="Y467" s="2337"/>
      <c r="Z467" s="2337"/>
      <c r="AA467" s="2337"/>
      <c r="AB467" s="2337"/>
      <c r="AC467" s="2337"/>
      <c r="AD467" s="2337"/>
      <c r="AE467" s="2337"/>
      <c r="AF467" s="2337"/>
      <c r="AG467" s="162"/>
      <c r="AH467" s="162"/>
      <c r="AI467" s="162"/>
      <c r="AJ467" s="162"/>
      <c r="AK467" s="162"/>
      <c r="AL467" s="1191"/>
      <c r="AM467" s="16"/>
      <c r="AN467" s="439"/>
      <c r="AS467" s="543"/>
      <c r="AW467" s="543" t="s">
        <v>1079</v>
      </c>
      <c r="BA467" s="543" t="s">
        <v>1080</v>
      </c>
    </row>
    <row r="468" spans="1:54" s="46" customFormat="1" ht="12.75" customHeight="1">
      <c r="A468" s="8"/>
      <c r="B468" s="65"/>
      <c r="C468" s="1194"/>
      <c r="D468" s="162"/>
      <c r="E468" s="162"/>
      <c r="F468" s="2337"/>
      <c r="G468" s="2337"/>
      <c r="H468" s="2337"/>
      <c r="I468" s="2337"/>
      <c r="J468" s="2337"/>
      <c r="K468" s="2337"/>
      <c r="L468" s="2337"/>
      <c r="M468" s="2337"/>
      <c r="N468" s="2337"/>
      <c r="O468" s="2337"/>
      <c r="P468" s="2337"/>
      <c r="Q468" s="2337"/>
      <c r="R468" s="2337"/>
      <c r="S468" s="2337"/>
      <c r="T468" s="2337"/>
      <c r="U468" s="2337"/>
      <c r="V468" s="2337"/>
      <c r="W468" s="2337"/>
      <c r="X468" s="2337"/>
      <c r="Y468" s="2337"/>
      <c r="Z468" s="2337"/>
      <c r="AA468" s="2337"/>
      <c r="AB468" s="2337"/>
      <c r="AC468" s="2337"/>
      <c r="AD468" s="2337"/>
      <c r="AE468" s="2337"/>
      <c r="AF468" s="2337"/>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37"/>
      <c r="G469" s="2337"/>
      <c r="H469" s="2337"/>
      <c r="I469" s="2337"/>
      <c r="J469" s="2337"/>
      <c r="K469" s="2337"/>
      <c r="L469" s="2337"/>
      <c r="M469" s="2337"/>
      <c r="N469" s="2337"/>
      <c r="O469" s="2337"/>
      <c r="P469" s="2337"/>
      <c r="Q469" s="2337"/>
      <c r="R469" s="2337"/>
      <c r="S469" s="2337"/>
      <c r="T469" s="2337"/>
      <c r="U469" s="2337"/>
      <c r="V469" s="2337"/>
      <c r="W469" s="2337"/>
      <c r="X469" s="2337"/>
      <c r="Y469" s="2337"/>
      <c r="Z469" s="2337"/>
      <c r="AA469" s="2337"/>
      <c r="AB469" s="2337"/>
      <c r="AC469" s="2337"/>
      <c r="AD469" s="2337"/>
      <c r="AE469" s="2337"/>
      <c r="AF469" s="2337"/>
      <c r="AG469" s="162"/>
      <c r="AH469" s="162"/>
      <c r="AI469" s="162"/>
      <c r="AJ469" s="162"/>
      <c r="AK469" s="162"/>
      <c r="AL469" s="1191"/>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24" t="s">
        <v>136</v>
      </c>
      <c r="D470" s="1696"/>
      <c r="E470" s="350"/>
      <c r="F470" s="1207" t="s">
        <v>2022</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1921" t="s">
        <v>355</v>
      </c>
      <c r="AG470" s="1921"/>
      <c r="AH470" s="1921"/>
      <c r="AI470" s="1921"/>
      <c r="AJ470" s="1921"/>
      <c r="AK470" s="1921"/>
      <c r="AL470" s="2322"/>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6"/>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6"/>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790</v>
      </c>
      <c r="AK476" s="2359">
        <f>IF(AS359=0,AS357,AS359)</f>
        <v>10</v>
      </c>
      <c r="AL476" s="2417"/>
      <c r="AM476" s="236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4" t="s">
        <v>1392</v>
      </c>
      <c r="AF479" s="2294"/>
      <c r="AG479" s="2294"/>
      <c r="AH479" s="2294"/>
      <c r="AI479" s="2294"/>
      <c r="AJ479" s="2294"/>
      <c r="AK479" s="2294"/>
      <c r="AL479" s="1297"/>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27" t="s">
        <v>136</v>
      </c>
      <c r="D485" s="2328"/>
      <c r="E485" s="1250" t="s">
        <v>212</v>
      </c>
      <c r="F485" s="2546" t="s">
        <v>1076</v>
      </c>
      <c r="G485" s="2546"/>
      <c r="H485" s="2546"/>
      <c r="I485" s="2546"/>
      <c r="J485" s="2546"/>
      <c r="K485" s="2546"/>
      <c r="L485" s="2546"/>
      <c r="M485" s="2546"/>
      <c r="N485" s="2546"/>
      <c r="O485" s="2546"/>
      <c r="P485" s="2546"/>
      <c r="Q485" s="2546"/>
      <c r="R485" s="2546"/>
      <c r="S485" s="2546"/>
      <c r="T485" s="2546"/>
      <c r="U485" s="2546"/>
      <c r="V485" s="2546"/>
      <c r="W485" s="2546"/>
      <c r="X485" s="2546"/>
      <c r="Y485" s="2546"/>
      <c r="Z485" s="2546"/>
      <c r="AA485" s="2546"/>
      <c r="AB485" s="2546"/>
      <c r="AC485" s="2546"/>
      <c r="AD485" s="2546"/>
      <c r="AE485" s="2546"/>
      <c r="AF485" s="1183"/>
      <c r="AG485" s="1183"/>
      <c r="AH485" s="1183"/>
      <c r="AI485" s="1183"/>
      <c r="AJ485" s="1183"/>
      <c r="AK485" s="1211"/>
      <c r="AL485" s="162"/>
      <c r="AN485" s="439"/>
      <c r="AO485" s="46" t="s">
        <v>2190</v>
      </c>
      <c r="AP485" s="46">
        <v>5</v>
      </c>
      <c r="AS485" s="552"/>
      <c r="AT485" s="43"/>
      <c r="AW485" s="733"/>
      <c r="AX485" s="64"/>
    </row>
    <row r="486" spans="1:50" s="46" customFormat="1" ht="12.75" hidden="1" customHeight="1">
      <c r="A486" s="28"/>
      <c r="C486" s="1219"/>
      <c r="D486" s="162"/>
      <c r="E486" s="225"/>
      <c r="F486" s="2547"/>
      <c r="G486" s="2547"/>
      <c r="H486" s="2547"/>
      <c r="I486" s="2547"/>
      <c r="J486" s="2547"/>
      <c r="K486" s="2547"/>
      <c r="L486" s="2547"/>
      <c r="M486" s="2547"/>
      <c r="N486" s="2547"/>
      <c r="O486" s="2547"/>
      <c r="P486" s="2547"/>
      <c r="Q486" s="2547"/>
      <c r="R486" s="2547"/>
      <c r="S486" s="2547"/>
      <c r="T486" s="2547"/>
      <c r="U486" s="2547"/>
      <c r="V486" s="2547"/>
      <c r="W486" s="2547"/>
      <c r="X486" s="2547"/>
      <c r="Y486" s="2547"/>
      <c r="Z486" s="2547"/>
      <c r="AA486" s="2547"/>
      <c r="AB486" s="2547"/>
      <c r="AC486" s="2547"/>
      <c r="AD486" s="2547"/>
      <c r="AE486" s="2547"/>
      <c r="AF486" s="162"/>
      <c r="AG486" s="27"/>
      <c r="AH486" s="27"/>
      <c r="AI486" s="27"/>
      <c r="AJ486" s="27"/>
      <c r="AK486" s="1191"/>
      <c r="AL486" s="162"/>
      <c r="AN486" s="439"/>
      <c r="AO486" s="46" t="s">
        <v>1475</v>
      </c>
      <c r="AP486" s="46">
        <v>1</v>
      </c>
    </row>
    <row r="487" spans="1:50" s="46" customFormat="1" ht="12.75" hidden="1" customHeight="1">
      <c r="A487" s="28"/>
      <c r="C487" s="1220"/>
      <c r="D487" s="1201"/>
      <c r="E487" s="1221"/>
      <c r="F487" s="2470" t="s">
        <v>136</v>
      </c>
      <c r="G487" s="2470"/>
      <c r="H487" s="2470"/>
      <c r="I487" s="2470"/>
      <c r="J487" s="2470"/>
      <c r="K487" s="2470"/>
      <c r="L487" s="2470"/>
      <c r="M487" s="2470"/>
      <c r="N487" s="2470"/>
      <c r="O487" s="2470"/>
      <c r="P487" s="2470"/>
      <c r="Q487" s="2470"/>
      <c r="R487" s="2470"/>
      <c r="S487" s="2470"/>
      <c r="T487" s="2470"/>
      <c r="U487" s="2470"/>
      <c r="V487" s="2470"/>
      <c r="W487" s="2470"/>
      <c r="X487" s="2470"/>
      <c r="Y487" s="2470"/>
      <c r="Z487" s="2470"/>
      <c r="AA487" s="1222"/>
      <c r="AB487" s="1223"/>
      <c r="AC487" s="1223"/>
      <c r="AD487" s="1201"/>
      <c r="AE487" s="1201"/>
      <c r="AF487" s="1201"/>
      <c r="AG487" s="1224">
        <f>IF($C$485="Yes",(VLOOKUP($F$487,$AO$458:$AP$466,2,FALSE)),0)</f>
        <v>0</v>
      </c>
      <c r="AH487" s="1225" t="s">
        <v>1078</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2" t="s">
        <v>119</v>
      </c>
      <c r="D489" s="2553"/>
      <c r="E489" s="1250" t="s">
        <v>336</v>
      </c>
      <c r="F489" s="1226" t="s">
        <v>1480</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1"/>
      <c r="AL491" s="162"/>
      <c r="AN491" s="475"/>
      <c r="AO491" s="552"/>
      <c r="AP491" s="43"/>
    </row>
    <row r="492" spans="1:50" s="205" customFormat="1" ht="12.75" hidden="1" customHeight="1">
      <c r="A492" s="57"/>
      <c r="B492" s="46"/>
      <c r="C492" s="1219"/>
      <c r="D492" s="162"/>
      <c r="E492" s="225"/>
      <c r="F492" s="1229" t="s">
        <v>1077</v>
      </c>
      <c r="G492" s="162"/>
      <c r="H492" s="162"/>
      <c r="I492" s="893"/>
      <c r="J492" s="893"/>
      <c r="K492" s="893"/>
      <c r="L492" s="893"/>
      <c r="M492" s="893"/>
      <c r="N492" s="893"/>
      <c r="O492" s="893"/>
      <c r="P492" s="893"/>
      <c r="Q492" s="893"/>
      <c r="R492" s="893"/>
      <c r="S492" s="893"/>
      <c r="T492" s="893"/>
      <c r="U492" s="893"/>
      <c r="V492" s="2335" t="s">
        <v>136</v>
      </c>
      <c r="W492" s="2335"/>
      <c r="X492" s="2335"/>
      <c r="Y492" s="893"/>
      <c r="Z492" s="893"/>
      <c r="AA492" s="893"/>
      <c r="AB492" s="893"/>
      <c r="AC492" s="893"/>
      <c r="AD492" s="969"/>
      <c r="AE492" s="969"/>
      <c r="AF492" s="969"/>
      <c r="AG492" s="175">
        <f>IF(AND($C$489="Yes",$V$494="N/A",$V$499="N/A",$V$503="N/A",$V$505="N/A"),(VLOOKUP(V492,$AR$468:$AS$470,2,FALSE)),0)</f>
        <v>0</v>
      </c>
      <c r="AH492" s="1157" t="s">
        <v>1078</v>
      </c>
      <c r="AI492" s="27"/>
      <c r="AJ492" s="27"/>
      <c r="AK492" s="1191"/>
      <c r="AL492" s="162"/>
      <c r="AM492" s="46"/>
      <c r="AN492" s="439"/>
    </row>
    <row r="493" spans="1:50" s="205" customFormat="1" ht="12.75" hidden="1" customHeight="1">
      <c r="A493" s="57"/>
      <c r="B493" s="46"/>
      <c r="C493" s="1219"/>
      <c r="D493" s="162"/>
      <c r="E493" s="225"/>
      <c r="F493" s="1229"/>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0"/>
      <c r="AI493" s="27"/>
      <c r="AJ493" s="27"/>
      <c r="AK493" s="1191"/>
      <c r="AL493" s="162"/>
      <c r="AM493" s="46"/>
      <c r="AN493" s="439"/>
    </row>
    <row r="494" spans="1:50" s="205" customFormat="1" ht="12.75" hidden="1" customHeight="1">
      <c r="A494" s="57"/>
      <c r="B494" s="46"/>
      <c r="C494" s="1219"/>
      <c r="D494" s="162"/>
      <c r="E494" s="225"/>
      <c r="F494" s="1229" t="s">
        <v>2209</v>
      </c>
      <c r="G494" s="162"/>
      <c r="H494" s="162"/>
      <c r="I494" s="893"/>
      <c r="J494" s="893"/>
      <c r="K494" s="893"/>
      <c r="L494" s="893"/>
      <c r="M494" s="893"/>
      <c r="N494" s="893"/>
      <c r="O494" s="893"/>
      <c r="P494" s="893"/>
      <c r="Q494" s="893"/>
      <c r="R494" s="893"/>
      <c r="S494" s="893"/>
      <c r="T494" s="893"/>
      <c r="U494" s="893"/>
      <c r="V494" s="2335" t="s">
        <v>136</v>
      </c>
      <c r="W494" s="2335"/>
      <c r="X494" s="2335"/>
      <c r="Y494" s="893"/>
      <c r="Z494" s="893"/>
      <c r="AA494" s="893"/>
      <c r="AB494" s="893"/>
      <c r="AC494" s="893"/>
      <c r="AD494" s="969"/>
      <c r="AE494" s="969"/>
      <c r="AF494" s="969"/>
      <c r="AG494" s="175">
        <f>IF(AND($C$489="Yes",$V$492="N/A", $V$499="N/A",$V$503="N/A",$V$505="N/A"),(VLOOKUP(V494,$AO$468:$AP$470,2,FALSE)),0)</f>
        <v>0</v>
      </c>
      <c r="AH494" s="1350" t="s">
        <v>1078</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136</v>
      </c>
      <c r="AP495" s="46">
        <v>0</v>
      </c>
    </row>
    <row r="496" spans="1:50" s="46" customFormat="1" ht="12.75" hidden="1" customHeight="1">
      <c r="A496" s="28"/>
      <c r="C496" s="1219"/>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1482</v>
      </c>
      <c r="AP496" s="64">
        <v>2</v>
      </c>
    </row>
    <row r="497" spans="1:147" s="46" customFormat="1" ht="12.75" hidden="1" customHeight="1">
      <c r="A497" s="28"/>
      <c r="C497" s="1219"/>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1085</v>
      </c>
      <c r="AP497" s="46">
        <v>2</v>
      </c>
    </row>
    <row r="498" spans="1:147" s="205" customFormat="1" ht="12.75" hidden="1" customHeight="1">
      <c r="A498" s="28"/>
      <c r="B498" s="46"/>
      <c r="C498" s="1194"/>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1086</v>
      </c>
      <c r="AP498" s="46">
        <v>2</v>
      </c>
    </row>
    <row r="499" spans="1:147" s="46" customFormat="1" ht="12.75" hidden="1" customHeight="1">
      <c r="A499" s="28"/>
      <c r="C499" s="1230"/>
      <c r="D499" s="28"/>
      <c r="E499" s="28"/>
      <c r="F499" s="1229" t="s">
        <v>1481</v>
      </c>
      <c r="G499" s="28"/>
      <c r="H499" s="28"/>
      <c r="I499" s="28"/>
      <c r="J499" s="28"/>
      <c r="K499" s="28"/>
      <c r="L499" s="28"/>
      <c r="M499" s="225"/>
      <c r="N499" s="225"/>
      <c r="O499" s="225"/>
      <c r="P499" s="225"/>
      <c r="Q499" s="27"/>
      <c r="R499" s="27"/>
      <c r="S499" s="27"/>
      <c r="T499" s="27"/>
      <c r="U499" s="27"/>
      <c r="V499" s="2335" t="s">
        <v>136</v>
      </c>
      <c r="W499" s="2335"/>
      <c r="X499" s="2335"/>
      <c r="Y499" s="27"/>
      <c r="Z499" s="27"/>
      <c r="AA499" s="27"/>
      <c r="AB499" s="27"/>
      <c r="AC499" s="27"/>
      <c r="AD499" s="162"/>
      <c r="AE499" s="162"/>
      <c r="AF499" s="162"/>
      <c r="AG499" s="175">
        <f>IF(AND($C$489="Yes",$V$492="N/A",$V$494="N/A", $V$503="N/A",$V$505="N/A"),(VLOOKUP($V$499,$AO$472:$AP$474,2,FALSE)),0)</f>
        <v>0</v>
      </c>
      <c r="AH499" s="1157" t="s">
        <v>1078</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1354</v>
      </c>
      <c r="D501" s="1235"/>
      <c r="E501" s="1235"/>
      <c r="F501" s="1236" t="s">
        <v>1478</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1783"/>
      <c r="E502" s="1783"/>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1490</v>
      </c>
      <c r="AP502" s="64">
        <v>5</v>
      </c>
      <c r="AQ502" s="63"/>
    </row>
    <row r="503" spans="1:147" s="16" customFormat="1" ht="12.75" hidden="1" customHeight="1">
      <c r="A503" s="195"/>
      <c r="B503" s="153"/>
      <c r="C503" s="1219"/>
      <c r="D503" s="162"/>
      <c r="E503" s="162"/>
      <c r="F503" s="896" t="s">
        <v>1077</v>
      </c>
      <c r="G503" s="162"/>
      <c r="H503" s="162"/>
      <c r="I503" s="162"/>
      <c r="J503" s="162"/>
      <c r="K503" s="162"/>
      <c r="L503" s="162"/>
      <c r="M503" s="162"/>
      <c r="N503" s="162"/>
      <c r="O503" s="162"/>
      <c r="P503" s="162"/>
      <c r="Q503" s="162"/>
      <c r="R503" s="162"/>
      <c r="S503" s="162"/>
      <c r="T503" s="162"/>
      <c r="U503" s="162"/>
      <c r="V503" s="2335" t="s">
        <v>136</v>
      </c>
      <c r="W503" s="2335"/>
      <c r="X503" s="2335"/>
      <c r="Y503" s="162"/>
      <c r="Z503" s="162"/>
      <c r="AA503" s="162"/>
      <c r="AB503" s="162"/>
      <c r="AC503" s="162"/>
      <c r="AD503" s="162"/>
      <c r="AE503" s="162"/>
      <c r="AF503" s="162"/>
      <c r="AG503" s="175">
        <f>IF(AND($C$489="Yes",$V$492="N/A",V494="N/A",$V$499="N/A",$V$505="N/A"),(VLOOKUP($V$503,$AW$468:$AX$471,2,FALSE)),0)</f>
        <v>0</v>
      </c>
      <c r="AH503" s="1157" t="s">
        <v>1078</v>
      </c>
      <c r="AI503" s="27"/>
      <c r="AJ503" s="162"/>
      <c r="AK503" s="1191"/>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2209</v>
      </c>
      <c r="G505" s="1232"/>
      <c r="H505" s="1232"/>
      <c r="I505" s="1201"/>
      <c r="J505" s="1201"/>
      <c r="K505" s="1201"/>
      <c r="L505" s="1201"/>
      <c r="M505" s="1201"/>
      <c r="N505" s="1201"/>
      <c r="O505" s="1201"/>
      <c r="P505" s="1201"/>
      <c r="Q505" s="1201"/>
      <c r="R505" s="1201"/>
      <c r="S505" s="1201"/>
      <c r="T505" s="1201"/>
      <c r="U505" s="1201"/>
      <c r="V505" s="2335" t="s">
        <v>136</v>
      </c>
      <c r="W505" s="2335"/>
      <c r="X505" s="2335"/>
      <c r="Y505" s="1201"/>
      <c r="Z505" s="1201"/>
      <c r="AA505" s="1201"/>
      <c r="AB505" s="1201"/>
      <c r="AC505" s="1201"/>
      <c r="AD505" s="1201"/>
      <c r="AE505" s="1201"/>
      <c r="AF505" s="1201"/>
      <c r="AG505" s="1233">
        <f>IF(AND($C$489="Yes",$V$492="N/A",$V$494="N/A",$V$499="N/A",$V$503="N/A"),(VLOOKUP($V$505,$BA$468:$BB$470,2,FALSE)),0)</f>
        <v>0</v>
      </c>
      <c r="AH505" s="1225" t="s">
        <v>1078</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46" t="s">
        <v>723</v>
      </c>
      <c r="AV506" s="2347"/>
      <c r="AW506" s="2347"/>
      <c r="AX506" s="2347"/>
      <c r="AY506" s="2347"/>
      <c r="AZ506" s="2347"/>
      <c r="BA506" s="2347"/>
      <c r="BB506" s="205"/>
      <c r="BC506" s="205"/>
      <c r="BE506" s="46"/>
      <c r="BF506" s="46"/>
      <c r="BG506" s="46"/>
      <c r="BH506" s="46"/>
      <c r="BI506" s="46"/>
      <c r="BJ506" s="2344" t="s">
        <v>35</v>
      </c>
      <c r="BK506" s="2345"/>
      <c r="BL506" s="2345"/>
      <c r="BM506" s="2345"/>
      <c r="BN506" s="2345"/>
      <c r="BO506" s="2345"/>
      <c r="BP506" s="234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46"/>
      <c r="AV507" s="2347"/>
      <c r="AW507" s="2347"/>
      <c r="AX507" s="2347"/>
      <c r="AY507" s="2347"/>
      <c r="AZ507" s="2347"/>
      <c r="BA507" s="2347"/>
      <c r="BB507" s="205"/>
      <c r="BC507" s="205"/>
      <c r="BE507" s="46"/>
      <c r="BF507" s="46"/>
      <c r="BG507" s="46"/>
      <c r="BH507" s="46"/>
      <c r="BI507" s="46"/>
      <c r="BJ507" s="2344"/>
      <c r="BK507" s="2345"/>
      <c r="BL507" s="2345"/>
      <c r="BM507" s="2345"/>
      <c r="BN507" s="2345"/>
      <c r="BO507" s="2345"/>
      <c r="BP507" s="2345"/>
      <c r="BQ507" s="205"/>
      <c r="BR507" s="46"/>
    </row>
    <row r="508" spans="1:147" s="16" customFormat="1" ht="12.75" hidden="1" customHeight="1">
      <c r="A508" s="195"/>
      <c r="B508" s="46"/>
      <c r="C508" s="2327" t="s">
        <v>136</v>
      </c>
      <c r="D508" s="2328"/>
      <c r="E508" s="1237" t="s">
        <v>212</v>
      </c>
      <c r="F508" s="2546" t="s">
        <v>1076</v>
      </c>
      <c r="G508" s="2546"/>
      <c r="H508" s="2546"/>
      <c r="I508" s="2546"/>
      <c r="J508" s="2546"/>
      <c r="K508" s="2546"/>
      <c r="L508" s="2546"/>
      <c r="M508" s="2546"/>
      <c r="N508" s="2546"/>
      <c r="O508" s="2546"/>
      <c r="P508" s="2546"/>
      <c r="Q508" s="2546"/>
      <c r="R508" s="2546"/>
      <c r="S508" s="2546"/>
      <c r="T508" s="2546"/>
      <c r="U508" s="2546"/>
      <c r="V508" s="2546"/>
      <c r="W508" s="2546"/>
      <c r="X508" s="2546"/>
      <c r="Y508" s="2546"/>
      <c r="Z508" s="2546"/>
      <c r="AA508" s="2546"/>
      <c r="AB508" s="2546"/>
      <c r="AC508" s="2546"/>
      <c r="AD508" s="2546"/>
      <c r="AE508" s="2546"/>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47"/>
      <c r="G509" s="2547"/>
      <c r="H509" s="2547"/>
      <c r="I509" s="2547"/>
      <c r="J509" s="2547"/>
      <c r="K509" s="2547"/>
      <c r="L509" s="2547"/>
      <c r="M509" s="2547"/>
      <c r="N509" s="2547"/>
      <c r="O509" s="2547"/>
      <c r="P509" s="2547"/>
      <c r="Q509" s="2547"/>
      <c r="R509" s="2547"/>
      <c r="S509" s="2547"/>
      <c r="T509" s="2547"/>
      <c r="U509" s="2547"/>
      <c r="V509" s="2547"/>
      <c r="W509" s="2547"/>
      <c r="X509" s="2547"/>
      <c r="Y509" s="2547"/>
      <c r="Z509" s="2547"/>
      <c r="AA509" s="2547"/>
      <c r="AB509" s="2547"/>
      <c r="AC509" s="2547"/>
      <c r="AD509" s="2547"/>
      <c r="AE509" s="2547"/>
      <c r="AF509" s="162"/>
      <c r="AG509" s="27"/>
      <c r="AH509" s="27"/>
      <c r="AI509" s="27"/>
      <c r="AJ509" s="27"/>
      <c r="AK509" s="1191"/>
      <c r="AL509" s="162"/>
      <c r="AM509" s="46"/>
      <c r="AN509" s="1131"/>
      <c r="AO509" s="132"/>
      <c r="AP509" s="2307" t="s">
        <v>1680</v>
      </c>
      <c r="AQ509" s="2308"/>
      <c r="AR509" s="2309"/>
      <c r="AS509" s="977">
        <v>80</v>
      </c>
      <c r="AT509" s="46">
        <v>0</v>
      </c>
      <c r="AU509" s="243">
        <v>10</v>
      </c>
      <c r="AV509" s="243">
        <v>25</v>
      </c>
      <c r="AW509" s="243">
        <v>37.5</v>
      </c>
      <c r="AX509" s="243">
        <v>35</v>
      </c>
      <c r="AY509" s="243">
        <v>37.5</v>
      </c>
      <c r="AZ509" s="243">
        <v>50</v>
      </c>
      <c r="BA509" s="243">
        <v>50</v>
      </c>
      <c r="BB509" s="65"/>
      <c r="BC509" s="65"/>
      <c r="BE509" s="2307" t="s">
        <v>1680</v>
      </c>
      <c r="BF509" s="2308"/>
      <c r="BG509" s="230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564" t="s">
        <v>136</v>
      </c>
      <c r="G510" s="2564"/>
      <c r="H510" s="2564"/>
      <c r="I510" s="2564"/>
      <c r="J510" s="2564"/>
      <c r="K510" s="2564"/>
      <c r="L510" s="2564"/>
      <c r="M510" s="2564"/>
      <c r="N510" s="2564"/>
      <c r="O510" s="2564"/>
      <c r="P510" s="2564"/>
      <c r="Q510" s="2564"/>
      <c r="R510" s="2564"/>
      <c r="S510" s="2564"/>
      <c r="T510" s="2564"/>
      <c r="U510" s="2564"/>
      <c r="V510" s="2564"/>
      <c r="W510" s="2564"/>
      <c r="X510" s="2564"/>
      <c r="Y510" s="2564"/>
      <c r="Z510" s="2564"/>
      <c r="AA510" s="1222"/>
      <c r="AB510" s="1223"/>
      <c r="AC510" s="1223"/>
      <c r="AD510" s="1201"/>
      <c r="AE510" s="1201"/>
      <c r="AF510" s="1201"/>
      <c r="AG510" s="1224">
        <f>IF($C$508="Yes",(VLOOKUP($F$510,$AO$478:$AP$486,2,FALSE)),0)</f>
        <v>0</v>
      </c>
      <c r="AH510" s="1225" t="s">
        <v>1078</v>
      </c>
      <c r="AI510" s="1224"/>
      <c r="AJ510" s="1223"/>
      <c r="AK510" s="1202"/>
      <c r="AL510" s="162"/>
      <c r="AM510" s="46"/>
      <c r="AN510" s="1131"/>
      <c r="AO510" s="132"/>
      <c r="AP510" s="2310"/>
      <c r="AQ510" s="2311"/>
      <c r="AR510" s="2312"/>
      <c r="AS510" s="977">
        <v>75</v>
      </c>
      <c r="AT510" s="46">
        <v>0</v>
      </c>
      <c r="AU510" s="243">
        <v>10</v>
      </c>
      <c r="AV510" s="243">
        <v>25</v>
      </c>
      <c r="AW510" s="243">
        <v>37.5</v>
      </c>
      <c r="AX510" s="243">
        <v>35</v>
      </c>
      <c r="AY510" s="243">
        <v>37.5</v>
      </c>
      <c r="AZ510" s="243">
        <v>50</v>
      </c>
      <c r="BA510" s="243">
        <v>50</v>
      </c>
      <c r="BB510" s="65"/>
      <c r="BC510" s="65"/>
      <c r="BE510" s="2310"/>
      <c r="BF510" s="2311"/>
      <c r="BG510" s="231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10"/>
      <c r="AQ511" s="2311"/>
      <c r="AR511" s="2312"/>
      <c r="AS511" s="977">
        <v>70</v>
      </c>
      <c r="AT511" s="46">
        <v>0</v>
      </c>
      <c r="AU511" s="243">
        <v>10</v>
      </c>
      <c r="AV511" s="243">
        <v>25</v>
      </c>
      <c r="AW511" s="243">
        <v>37.5</v>
      </c>
      <c r="AX511" s="243">
        <v>35</v>
      </c>
      <c r="AY511" s="243">
        <v>37.5</v>
      </c>
      <c r="AZ511" s="243">
        <v>50</v>
      </c>
      <c r="BA511" s="243">
        <v>50</v>
      </c>
      <c r="BB511" s="65"/>
      <c r="BC511" s="65"/>
      <c r="BE511" s="2310"/>
      <c r="BF511" s="2311"/>
      <c r="BG511" s="231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7" t="s">
        <v>136</v>
      </c>
      <c r="D512" s="2328"/>
      <c r="E512" s="1237" t="s">
        <v>336</v>
      </c>
      <c r="F512" s="2559" t="s">
        <v>1285</v>
      </c>
      <c r="G512" s="2559"/>
      <c r="H512" s="2559"/>
      <c r="I512" s="2559"/>
      <c r="J512" s="2559"/>
      <c r="K512" s="2559"/>
      <c r="L512" s="2559"/>
      <c r="M512" s="2559"/>
      <c r="N512" s="2559"/>
      <c r="O512" s="2559"/>
      <c r="P512" s="2559"/>
      <c r="Q512" s="2559"/>
      <c r="R512" s="2559"/>
      <c r="S512" s="2559"/>
      <c r="T512" s="2559"/>
      <c r="U512" s="2559"/>
      <c r="V512" s="2559"/>
      <c r="W512" s="2559"/>
      <c r="X512" s="2559"/>
      <c r="Y512" s="2559"/>
      <c r="Z512" s="2559"/>
      <c r="AA512" s="2559"/>
      <c r="AB512" s="2559"/>
      <c r="AC512" s="2559"/>
      <c r="AD512" s="2559"/>
      <c r="AE512" s="2559"/>
      <c r="AF512" s="1183"/>
      <c r="AG512" s="1227"/>
      <c r="AH512" s="1227"/>
      <c r="AI512" s="1227"/>
      <c r="AJ512" s="1227"/>
      <c r="AK512" s="1211"/>
      <c r="AL512" s="162"/>
      <c r="AM512" s="46"/>
      <c r="AN512" s="1131"/>
      <c r="AO512" s="132"/>
      <c r="AP512" s="2310"/>
      <c r="AQ512" s="2311"/>
      <c r="AR512" s="2312"/>
      <c r="AS512" s="977">
        <v>65</v>
      </c>
      <c r="AT512" s="46">
        <v>0</v>
      </c>
      <c r="AU512" s="243">
        <v>10</v>
      </c>
      <c r="AV512" s="243">
        <v>25</v>
      </c>
      <c r="AW512" s="243">
        <v>37.5</v>
      </c>
      <c r="AX512" s="243">
        <v>35</v>
      </c>
      <c r="AY512" s="243">
        <v>37.5</v>
      </c>
      <c r="AZ512" s="243">
        <v>50</v>
      </c>
      <c r="BA512" s="243">
        <v>50</v>
      </c>
      <c r="BB512" s="65"/>
      <c r="BC512" s="65"/>
      <c r="BE512" s="2310"/>
      <c r="BF512" s="2311"/>
      <c r="BG512" s="231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560"/>
      <c r="G513" s="2560"/>
      <c r="H513" s="2560"/>
      <c r="I513" s="2560"/>
      <c r="J513" s="2560"/>
      <c r="K513" s="2560"/>
      <c r="L513" s="2560"/>
      <c r="M513" s="2560"/>
      <c r="N513" s="2560"/>
      <c r="O513" s="2560"/>
      <c r="P513" s="2560"/>
      <c r="Q513" s="2560"/>
      <c r="R513" s="2560"/>
      <c r="S513" s="2560"/>
      <c r="T513" s="2560"/>
      <c r="U513" s="2560"/>
      <c r="V513" s="2560"/>
      <c r="W513" s="2560"/>
      <c r="X513" s="2560"/>
      <c r="Y513" s="2560"/>
      <c r="Z513" s="2560"/>
      <c r="AA513" s="2560"/>
      <c r="AB513" s="2560"/>
      <c r="AC513" s="2560"/>
      <c r="AD513" s="2560"/>
      <c r="AE513" s="2560"/>
      <c r="AF513" s="162"/>
      <c r="AG513" s="27"/>
      <c r="AH513" s="27"/>
      <c r="AI513" s="27"/>
      <c r="AJ513" s="27"/>
      <c r="AK513" s="1191"/>
      <c r="AL513" s="162"/>
      <c r="AM513" s="46"/>
      <c r="AN513" s="1131"/>
      <c r="AO513" s="132"/>
      <c r="AP513" s="2310"/>
      <c r="AQ513" s="2311"/>
      <c r="AR513" s="2312"/>
      <c r="AS513" s="977">
        <v>60</v>
      </c>
      <c r="AT513" s="46">
        <v>0</v>
      </c>
      <c r="AU513" s="243">
        <v>10</v>
      </c>
      <c r="AV513" s="243">
        <v>25</v>
      </c>
      <c r="AW513" s="243">
        <v>37.5</v>
      </c>
      <c r="AX513" s="243">
        <v>35</v>
      </c>
      <c r="AY513" s="243">
        <v>37.5</v>
      </c>
      <c r="AZ513" s="243">
        <v>50</v>
      </c>
      <c r="BA513" s="243">
        <v>50</v>
      </c>
      <c r="BB513" s="65"/>
      <c r="BC513" s="65"/>
      <c r="BE513" s="2310"/>
      <c r="BF513" s="2311"/>
      <c r="BG513" s="231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10"/>
      <c r="AQ514" s="2311"/>
      <c r="AR514" s="2312"/>
      <c r="AS514" s="977">
        <v>55</v>
      </c>
      <c r="AT514" s="46">
        <v>0</v>
      </c>
      <c r="AU514" s="243">
        <v>10</v>
      </c>
      <c r="AV514" s="243">
        <v>25</v>
      </c>
      <c r="AW514" s="243">
        <v>37.5</v>
      </c>
      <c r="AX514" s="243">
        <v>35</v>
      </c>
      <c r="AY514" s="243">
        <v>37.5</v>
      </c>
      <c r="AZ514" s="243">
        <v>50</v>
      </c>
      <c r="BA514" s="243">
        <v>50</v>
      </c>
      <c r="BE514" s="2310"/>
      <c r="BF514" s="2311"/>
      <c r="BG514" s="231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565" t="s">
        <v>136</v>
      </c>
      <c r="G515" s="2565"/>
      <c r="H515" s="2565"/>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1078</v>
      </c>
      <c r="AI515" s="1223"/>
      <c r="AJ515" s="1223"/>
      <c r="AK515" s="1202"/>
      <c r="AL515" s="162"/>
      <c r="AM515" s="46"/>
      <c r="AN515" s="1131"/>
      <c r="AP515" s="2310"/>
      <c r="AQ515" s="2311"/>
      <c r="AR515" s="2312"/>
      <c r="AS515" s="242">
        <v>50</v>
      </c>
      <c r="AT515" s="46">
        <v>0</v>
      </c>
      <c r="AU515" s="243">
        <v>10</v>
      </c>
      <c r="AV515" s="243">
        <v>25</v>
      </c>
      <c r="AW515" s="243">
        <v>37.5</v>
      </c>
      <c r="AX515" s="243">
        <v>35</v>
      </c>
      <c r="AY515" s="243">
        <v>37.5</v>
      </c>
      <c r="AZ515" s="243">
        <v>50</v>
      </c>
      <c r="BA515" s="243">
        <v>50</v>
      </c>
      <c r="BE515" s="2310"/>
      <c r="BF515" s="2311"/>
      <c r="BG515" s="231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10"/>
      <c r="AQ516" s="2311"/>
      <c r="AR516" s="2312"/>
      <c r="AS516" s="242">
        <v>45</v>
      </c>
      <c r="AT516" s="46">
        <v>0</v>
      </c>
      <c r="AU516" s="243">
        <v>10</v>
      </c>
      <c r="AV516" s="243">
        <v>22.5</v>
      </c>
      <c r="AW516" s="243">
        <v>33.799999999999997</v>
      </c>
      <c r="AX516" s="243">
        <v>35</v>
      </c>
      <c r="AY516" s="243">
        <v>37.5</v>
      </c>
      <c r="AZ516" s="243">
        <v>50</v>
      </c>
      <c r="BA516" s="243">
        <v>50</v>
      </c>
      <c r="BE516" s="2310"/>
      <c r="BF516" s="2311"/>
      <c r="BG516" s="231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7" t="s">
        <v>136</v>
      </c>
      <c r="D517" s="2328"/>
      <c r="E517" s="1237" t="s">
        <v>1395</v>
      </c>
      <c r="F517" s="1236" t="s">
        <v>1083</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10"/>
      <c r="AQ517" s="2311"/>
      <c r="AR517" s="2312"/>
      <c r="AS517" s="242">
        <v>40</v>
      </c>
      <c r="AT517" s="46">
        <v>0</v>
      </c>
      <c r="AU517" s="243">
        <v>10</v>
      </c>
      <c r="AV517" s="243">
        <v>20</v>
      </c>
      <c r="AW517" s="243">
        <v>30</v>
      </c>
      <c r="AX517" s="243">
        <v>35</v>
      </c>
      <c r="AY517" s="243">
        <v>37.5</v>
      </c>
      <c r="AZ517" s="243">
        <v>50</v>
      </c>
      <c r="BA517" s="243">
        <v>50</v>
      </c>
      <c r="BE517" s="2310"/>
      <c r="BF517" s="2311"/>
      <c r="BG517" s="231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10"/>
      <c r="AQ518" s="2311"/>
      <c r="AR518" s="2312"/>
      <c r="AS518" s="242">
        <v>35</v>
      </c>
      <c r="AT518" s="46">
        <v>0</v>
      </c>
      <c r="AU518" s="243">
        <v>8.8000000000000007</v>
      </c>
      <c r="AV518" s="243">
        <v>17.5</v>
      </c>
      <c r="AW518" s="243">
        <v>26.3</v>
      </c>
      <c r="AX518" s="243">
        <v>35</v>
      </c>
      <c r="AY518" s="243">
        <v>37.5</v>
      </c>
      <c r="AZ518" s="243">
        <v>50</v>
      </c>
      <c r="BA518" s="243">
        <v>50</v>
      </c>
      <c r="BE518" s="2310"/>
      <c r="BF518" s="2311"/>
      <c r="BG518" s="231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4"/>
      <c r="D519" s="1783"/>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1078</v>
      </c>
      <c r="AI519" s="27"/>
      <c r="AJ519" s="175"/>
      <c r="AK519" s="1191"/>
      <c r="AL519" s="162"/>
      <c r="AM519" s="46"/>
      <c r="AN519" s="1131"/>
      <c r="AP519" s="2310"/>
      <c r="AQ519" s="2311"/>
      <c r="AR519" s="2312"/>
      <c r="AS519" s="242">
        <v>30</v>
      </c>
      <c r="AT519" s="46">
        <v>0</v>
      </c>
      <c r="AU519" s="243">
        <v>7.5</v>
      </c>
      <c r="AV519" s="243">
        <v>15</v>
      </c>
      <c r="AW519" s="243">
        <v>22.5</v>
      </c>
      <c r="AX519" s="243">
        <v>30</v>
      </c>
      <c r="AY519" s="243">
        <v>37.5</v>
      </c>
      <c r="AZ519" s="243">
        <v>45</v>
      </c>
      <c r="BA519" s="243">
        <v>50</v>
      </c>
      <c r="BE519" s="2310"/>
      <c r="BF519" s="2311"/>
      <c r="BG519" s="231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30" t="s">
        <v>136</v>
      </c>
      <c r="H520" s="2330"/>
      <c r="I520" s="2330"/>
      <c r="J520" s="2330"/>
      <c r="K520" s="2330"/>
      <c r="L520" s="2330"/>
      <c r="M520" s="2330"/>
      <c r="N520" s="2330"/>
      <c r="O520" s="2330"/>
      <c r="P520" s="2330"/>
      <c r="Q520" s="2330"/>
      <c r="R520" s="2330"/>
      <c r="S520" s="2330"/>
      <c r="T520" s="2330"/>
      <c r="U520" s="2330"/>
      <c r="V520" s="2330"/>
      <c r="W520" s="2330"/>
      <c r="X520" s="2330"/>
      <c r="Y520" s="2330"/>
      <c r="Z520" s="2330"/>
      <c r="AA520" s="2330"/>
      <c r="AB520" s="2330"/>
      <c r="AC520" s="2330"/>
      <c r="AD520" s="2330"/>
      <c r="AE520" s="2330"/>
      <c r="AF520" s="2330"/>
      <c r="AG520" s="162"/>
      <c r="AH520" s="162"/>
      <c r="AI520" s="162"/>
      <c r="AJ520" s="27"/>
      <c r="AK520" s="1191"/>
      <c r="AL520" s="162"/>
      <c r="AM520" s="46"/>
      <c r="AN520" s="1131"/>
      <c r="AP520" s="2310"/>
      <c r="AQ520" s="2311"/>
      <c r="AR520" s="2312"/>
      <c r="AS520" s="242">
        <v>25</v>
      </c>
      <c r="AT520" s="46">
        <v>0</v>
      </c>
      <c r="AU520" s="243">
        <v>6.3</v>
      </c>
      <c r="AV520" s="243">
        <v>12.5</v>
      </c>
      <c r="AW520" s="243">
        <v>18.8</v>
      </c>
      <c r="AX520" s="243">
        <v>25</v>
      </c>
      <c r="AY520" s="243">
        <v>31.3</v>
      </c>
      <c r="AZ520" s="243">
        <v>37.5</v>
      </c>
      <c r="BA520" s="243">
        <v>50</v>
      </c>
      <c r="BE520" s="2310"/>
      <c r="BF520" s="2311"/>
      <c r="BG520" s="231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10"/>
      <c r="AQ521" s="2311"/>
      <c r="AR521" s="2312"/>
      <c r="AS521" s="242">
        <v>20</v>
      </c>
      <c r="AT521" s="46">
        <v>0</v>
      </c>
      <c r="AU521" s="243">
        <v>5</v>
      </c>
      <c r="AV521" s="243">
        <v>10</v>
      </c>
      <c r="AW521" s="243">
        <v>15</v>
      </c>
      <c r="AX521" s="243">
        <v>20</v>
      </c>
      <c r="AY521" s="243">
        <v>25</v>
      </c>
      <c r="AZ521" s="243">
        <v>30</v>
      </c>
      <c r="BA521" s="243">
        <v>40</v>
      </c>
      <c r="BE521" s="2310"/>
      <c r="BF521" s="2311"/>
      <c r="BG521" s="231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1" t="s">
        <v>136</v>
      </c>
      <c r="D522" s="2332"/>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1078</v>
      </c>
      <c r="AI522" s="27"/>
      <c r="AJ522" s="1155"/>
      <c r="AK522" s="1191"/>
      <c r="AL522" s="162"/>
      <c r="AM522" s="46"/>
      <c r="AN522" s="1131"/>
      <c r="AP522" s="2310"/>
      <c r="AQ522" s="2311"/>
      <c r="AR522" s="2312"/>
      <c r="AS522" s="242">
        <v>15</v>
      </c>
      <c r="AT522" s="46">
        <v>0</v>
      </c>
      <c r="AU522" s="243">
        <v>3.8</v>
      </c>
      <c r="AV522" s="243">
        <v>7.5</v>
      </c>
      <c r="AW522" s="243">
        <v>11.3</v>
      </c>
      <c r="AX522" s="243">
        <v>15</v>
      </c>
      <c r="AY522" s="243">
        <v>18.8</v>
      </c>
      <c r="AZ522" s="243">
        <v>22.5</v>
      </c>
      <c r="BA522" s="243">
        <v>30</v>
      </c>
      <c r="BE522" s="2310"/>
      <c r="BF522" s="2311"/>
      <c r="BG522" s="231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361"/>
      <c r="AQ523" s="2362"/>
      <c r="AR523" s="2363"/>
      <c r="AS523" s="242">
        <v>10</v>
      </c>
      <c r="AT523" s="46">
        <v>0</v>
      </c>
      <c r="AU523" s="243">
        <v>2.5</v>
      </c>
      <c r="AV523" s="243">
        <v>5</v>
      </c>
      <c r="AW523" s="243">
        <v>7.5</v>
      </c>
      <c r="AX523" s="243">
        <v>10</v>
      </c>
      <c r="AY523" s="243">
        <v>12.5</v>
      </c>
      <c r="AZ523" s="243">
        <v>15</v>
      </c>
      <c r="BA523" s="243">
        <v>20</v>
      </c>
      <c r="BE523" s="2361"/>
      <c r="BF523" s="2362"/>
      <c r="BG523" s="236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31" t="s">
        <v>136</v>
      </c>
      <c r="D526" s="2332"/>
      <c r="E526" s="162"/>
      <c r="F526" s="793" t="s">
        <v>964</v>
      </c>
      <c r="G526" s="2318" t="s">
        <v>1087</v>
      </c>
      <c r="H526" s="2318"/>
      <c r="I526" s="2318"/>
      <c r="J526" s="2318"/>
      <c r="K526" s="2318"/>
      <c r="L526" s="2318"/>
      <c r="M526" s="2318"/>
      <c r="N526" s="2318"/>
      <c r="O526" s="2318"/>
      <c r="P526" s="2318"/>
      <c r="Q526" s="2318"/>
      <c r="R526" s="2318"/>
      <c r="S526" s="2318"/>
      <c r="T526" s="2318"/>
      <c r="U526" s="2318"/>
      <c r="V526" s="2318"/>
      <c r="W526" s="2318"/>
      <c r="X526" s="2318"/>
      <c r="Y526" s="2318"/>
      <c r="Z526" s="2318"/>
      <c r="AA526" s="2318"/>
      <c r="AB526" s="2318"/>
      <c r="AC526" s="2318"/>
      <c r="AD526" s="2318"/>
      <c r="AE526" s="2318"/>
      <c r="AF526" s="2318"/>
      <c r="AG526" s="175">
        <f>IF(AND($C$526="Yes",$C$517="Yes"),2,0)</f>
        <v>0</v>
      </c>
      <c r="AH526" s="1157" t="s">
        <v>1078</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343">
        <f>BJ530</f>
        <v>62</v>
      </c>
      <c r="BE526" s="2343"/>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6"/>
      <c r="D527" s="1239"/>
      <c r="E527" s="1221"/>
      <c r="F527" s="1247"/>
      <c r="G527" s="2333"/>
      <c r="H527" s="2333"/>
      <c r="I527" s="2333"/>
      <c r="J527" s="2333"/>
      <c r="K527" s="2333"/>
      <c r="L527" s="2333"/>
      <c r="M527" s="2333"/>
      <c r="N527" s="2333"/>
      <c r="O527" s="2333"/>
      <c r="P527" s="2333"/>
      <c r="Q527" s="2333"/>
      <c r="R527" s="2333"/>
      <c r="S527" s="2333"/>
      <c r="T527" s="2333"/>
      <c r="U527" s="2333"/>
      <c r="V527" s="2333"/>
      <c r="W527" s="2333"/>
      <c r="X527" s="2333"/>
      <c r="Y527" s="2333"/>
      <c r="Z527" s="2333"/>
      <c r="AA527" s="2333"/>
      <c r="AB527" s="2333"/>
      <c r="AC527" s="2333"/>
      <c r="AD527" s="2333"/>
      <c r="AE527" s="2333"/>
      <c r="AF527" s="2333"/>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343">
        <f>SUM(E583:J591)</f>
        <v>62</v>
      </c>
      <c r="BE527" s="234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1">
        <v>0</v>
      </c>
      <c r="BK528" s="234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2080</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1">
        <f>Application!AG431</f>
        <v>0</v>
      </c>
      <c r="BK529" s="234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4" t="s">
        <v>136</v>
      </c>
      <c r="D530" s="1696"/>
      <c r="E530" s="792" t="s">
        <v>1396</v>
      </c>
      <c r="F530" s="893" t="s">
        <v>1492</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1078</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1">
        <f>Application!AG433</f>
        <v>62</v>
      </c>
      <c r="BK530" s="2342"/>
      <c r="BM530" s="2354"/>
      <c r="BN530" s="2355"/>
      <c r="BO530" s="2354"/>
      <c r="BP530" s="2355"/>
      <c r="BQ530" s="2351"/>
      <c r="BR530" s="2353"/>
      <c r="BS530" s="2351"/>
      <c r="BT530" s="2353"/>
      <c r="BU530" s="2354">
        <f>IF(T610&gt;0,1,0)</f>
        <v>1</v>
      </c>
      <c r="BV530" s="2355"/>
      <c r="BW530" s="2354">
        <f>IF(Y610&gt;=0.1,1,0)</f>
        <v>1</v>
      </c>
      <c r="BX530" s="2355"/>
      <c r="BY530" s="2351"/>
      <c r="BZ530" s="2353"/>
      <c r="CA530" s="2351"/>
      <c r="CB530" s="2353"/>
      <c r="CC530" s="2354"/>
      <c r="CD530" s="2355"/>
      <c r="CE530" s="2354"/>
      <c r="CF530" s="2355"/>
      <c r="CG530" s="16"/>
      <c r="CH530" s="16"/>
      <c r="CI530" s="16"/>
      <c r="CJ530" s="16"/>
    </row>
    <row r="531" spans="1:101" s="46" customFormat="1" ht="12.75" hidden="1" customHeight="1">
      <c r="A531" s="28"/>
      <c r="C531" s="1245"/>
      <c r="D531" s="153"/>
      <c r="E531" s="225"/>
      <c r="F531" s="2557" t="s">
        <v>136</v>
      </c>
      <c r="G531" s="2557"/>
      <c r="H531" s="2557"/>
      <c r="I531" s="2557"/>
      <c r="J531" s="2557"/>
      <c r="K531" s="2557"/>
      <c r="L531" s="2557"/>
      <c r="M531" s="2557"/>
      <c r="N531" s="2557"/>
      <c r="O531" s="2557"/>
      <c r="P531" s="2557"/>
      <c r="Q531" s="2557"/>
      <c r="R531" s="2557"/>
      <c r="S531" s="2557"/>
      <c r="T531" s="2557"/>
      <c r="U531" s="2557"/>
      <c r="V531" s="2557"/>
      <c r="W531" s="2557"/>
      <c r="X531" s="2557"/>
      <c r="Y531" s="2557"/>
      <c r="Z531" s="2557"/>
      <c r="AA531" s="2557"/>
      <c r="AB531" s="2557"/>
      <c r="AC531" s="2557"/>
      <c r="AD531" s="2557"/>
      <c r="AE531" s="2557"/>
      <c r="AF531" s="2557"/>
      <c r="AG531" s="27"/>
      <c r="AH531" s="27"/>
      <c r="AI531" s="27"/>
      <c r="AJ531" s="27"/>
      <c r="AK531" s="1191"/>
      <c r="AL531" s="162"/>
      <c r="AN531" s="439"/>
      <c r="BM531" s="2354"/>
      <c r="BN531" s="2355"/>
      <c r="BO531" s="2354"/>
      <c r="BP531" s="2355"/>
      <c r="BQ531" s="2351"/>
      <c r="BR531" s="2353"/>
      <c r="BS531" s="2351"/>
      <c r="BT531" s="2353"/>
      <c r="BU531" s="2354"/>
      <c r="BV531" s="2355"/>
      <c r="BW531" s="2354"/>
      <c r="BX531" s="2355"/>
      <c r="BY531" s="2481">
        <f>IF(T611&gt;0,1,0)</f>
        <v>1</v>
      </c>
      <c r="BZ531" s="2483"/>
      <c r="CA531" s="2481">
        <f>IF(Y611&gt;=0.1,1,0)</f>
        <v>1</v>
      </c>
      <c r="CB531" s="2483"/>
      <c r="CC531" s="2354"/>
      <c r="CD531" s="2355"/>
      <c r="CE531" s="2354"/>
      <c r="CF531" s="2355"/>
      <c r="CG531" s="16"/>
      <c r="CH531" s="16"/>
      <c r="CI531" s="16"/>
      <c r="CJ531" s="16"/>
      <c r="CW531" s="16"/>
    </row>
    <row r="532" spans="1:101" s="46" customFormat="1" ht="12.75" hidden="1" customHeight="1">
      <c r="A532" s="28"/>
      <c r="C532" s="1246"/>
      <c r="D532" s="1201"/>
      <c r="E532" s="1221"/>
      <c r="F532" s="2558"/>
      <c r="G532" s="2558"/>
      <c r="H532" s="2558"/>
      <c r="I532" s="2558"/>
      <c r="J532" s="2558"/>
      <c r="K532" s="2558"/>
      <c r="L532" s="2558"/>
      <c r="M532" s="2558"/>
      <c r="N532" s="2558"/>
      <c r="O532" s="2558"/>
      <c r="P532" s="2558"/>
      <c r="Q532" s="2558"/>
      <c r="R532" s="2558"/>
      <c r="S532" s="2558"/>
      <c r="T532" s="2558"/>
      <c r="U532" s="2558"/>
      <c r="V532" s="2558"/>
      <c r="W532" s="2558"/>
      <c r="X532" s="2558"/>
      <c r="Y532" s="2558"/>
      <c r="Z532" s="2558"/>
      <c r="AA532" s="2558"/>
      <c r="AB532" s="2558"/>
      <c r="AC532" s="2558"/>
      <c r="AD532" s="2558"/>
      <c r="AE532" s="2558"/>
      <c r="AF532" s="2558"/>
      <c r="AG532" s="1223"/>
      <c r="AH532" s="1223"/>
      <c r="AI532" s="1223"/>
      <c r="AJ532" s="1223"/>
      <c r="AK532" s="1202"/>
      <c r="AL532" s="162"/>
      <c r="AN532" s="439"/>
      <c r="BM532" s="2354"/>
      <c r="BN532" s="2355"/>
      <c r="BO532" s="2354"/>
      <c r="BP532" s="2355"/>
      <c r="BQ532" s="2351"/>
      <c r="BR532" s="2353"/>
      <c r="BS532" s="2351"/>
      <c r="BT532" s="2353"/>
      <c r="BU532" s="2354"/>
      <c r="BV532" s="2355"/>
      <c r="BW532" s="2354"/>
      <c r="BX532" s="2355"/>
      <c r="BY532" s="2351"/>
      <c r="BZ532" s="2353"/>
      <c r="CA532" s="2351"/>
      <c r="CB532" s="2353"/>
      <c r="CC532" s="2354">
        <f>IF(T612&gt;0,1,0)</f>
        <v>0</v>
      </c>
      <c r="CD532" s="2355"/>
      <c r="CE532" s="2354">
        <f>IF(Y612&gt;=0.1,1,0)</f>
        <v>0</v>
      </c>
      <c r="CF532" s="235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4">
        <f>SUM(BM528:BN532)</f>
        <v>0</v>
      </c>
      <c r="BN533" s="2355"/>
      <c r="BO533" s="2354">
        <f>SUM(BO528:BP532)</f>
        <v>0</v>
      </c>
      <c r="BP533" s="2355"/>
      <c r="BQ533" s="2354">
        <f>SUM(BQ528:BR532)</f>
        <v>1</v>
      </c>
      <c r="BR533" s="2355"/>
      <c r="BS533" s="2354">
        <f>SUM(BS528:BT532)</f>
        <v>1</v>
      </c>
      <c r="BT533" s="2355"/>
      <c r="BU533" s="2354">
        <f>SUM(BU528:BV532)</f>
        <v>1</v>
      </c>
      <c r="BV533" s="2355"/>
      <c r="BW533" s="2354">
        <f>SUM(BW528:BX532)</f>
        <v>1</v>
      </c>
      <c r="BX533" s="2355"/>
      <c r="BY533" s="2354">
        <f>SUM(BY528:BZ532)</f>
        <v>1</v>
      </c>
      <c r="BZ533" s="2355"/>
      <c r="CA533" s="2354">
        <f>SUM(CA528:CB532)</f>
        <v>1</v>
      </c>
      <c r="CB533" s="2355"/>
      <c r="CC533" s="2354">
        <f>SUM(CC528:CD532)</f>
        <v>0</v>
      </c>
      <c r="CD533" s="2355"/>
      <c r="CE533" s="2354">
        <f>SUM(CE528:CF532)</f>
        <v>0</v>
      </c>
      <c r="CF533" s="2355"/>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0" t="s">
        <v>504</v>
      </c>
      <c r="AQ534" s="2371"/>
      <c r="AR534" s="2371"/>
      <c r="AS534" s="2371"/>
      <c r="AT534" s="2372"/>
      <c r="AU534" s="2370" t="s">
        <v>505</v>
      </c>
      <c r="AV534" s="2371"/>
      <c r="AW534" s="2371"/>
      <c r="AX534" s="2371"/>
      <c r="AY534" s="2372"/>
      <c r="BM534" s="2351">
        <f>SUM(BM533:BP533)</f>
        <v>0</v>
      </c>
      <c r="BN534" s="2352"/>
      <c r="BO534" s="2352"/>
      <c r="BP534" s="2353"/>
      <c r="BQ534" s="2351">
        <f>SUM(BQ533:BT533)</f>
        <v>2</v>
      </c>
      <c r="BR534" s="2352"/>
      <c r="BS534" s="2352"/>
      <c r="BT534" s="2353"/>
      <c r="BU534" s="2351">
        <f>SUM(BU533:BX533)</f>
        <v>2</v>
      </c>
      <c r="BV534" s="2352"/>
      <c r="BW534" s="2352"/>
      <c r="BX534" s="2353"/>
      <c r="BY534" s="2351">
        <f>SUM(BY533:CB533)</f>
        <v>2</v>
      </c>
      <c r="BZ534" s="2352"/>
      <c r="CA534" s="2352"/>
      <c r="CB534" s="2353"/>
      <c r="CC534" s="2351">
        <f>SUM(CC533:CF533)</f>
        <v>0</v>
      </c>
      <c r="CD534" s="2352"/>
      <c r="CE534" s="2352"/>
      <c r="CF534" s="2353"/>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8">
        <f>RANK(T608,$T$608:$X$612,0)+COUNTIF($T$608:$X$612,T608)-1</f>
        <v>5</v>
      </c>
      <c r="AQ535" s="2349"/>
      <c r="AR535" s="2349"/>
      <c r="AS535" s="2349"/>
      <c r="AT535" s="2350"/>
      <c r="AU535" s="2348">
        <f>RANK(Y608,$Y$608:$AC$612,0)+COUNTIF($Y$608:$AC$612,Y608)-1</f>
        <v>5</v>
      </c>
      <c r="AV535" s="2349"/>
      <c r="AW535" s="2349"/>
      <c r="AX535" s="2349"/>
      <c r="AY535" s="2350"/>
      <c r="BM535" s="2351"/>
      <c r="BN535" s="2352"/>
      <c r="BO535" s="2352"/>
      <c r="BP535" s="2353"/>
      <c r="BQ535" s="2351">
        <f>IF(AND(BQ534=2,BM534=1),1,0)</f>
        <v>0</v>
      </c>
      <c r="BR535" s="2352"/>
      <c r="BS535" s="2352"/>
      <c r="BT535" s="2353"/>
      <c r="BU535" s="2351">
        <f>IF(AND(BU534=2,BQ534=1),1,0)</f>
        <v>0</v>
      </c>
      <c r="BV535" s="2352"/>
      <c r="BW535" s="2352"/>
      <c r="BX535" s="2353"/>
      <c r="BY535" s="2351">
        <f>IF(AND(BY534=2,BU534=1),1,0)</f>
        <v>0</v>
      </c>
      <c r="BZ535" s="2352"/>
      <c r="CA535" s="2352"/>
      <c r="CB535" s="2353"/>
      <c r="CC535" s="2351">
        <f>IF(AND(CC534=2,BU534=1),1,0)</f>
        <v>0</v>
      </c>
      <c r="CD535" s="2352"/>
      <c r="CE535" s="2352"/>
      <c r="CF535" s="2353"/>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8">
        <f>RANK(T609,$T$608:$X$612,0)+COUNTIF($T$608:$X$612,T609)-1</f>
        <v>3</v>
      </c>
      <c r="AQ536" s="2349"/>
      <c r="AR536" s="2349"/>
      <c r="AS536" s="2349"/>
      <c r="AT536" s="2350"/>
      <c r="AU536" s="2348">
        <f>RANK(Y609,$Y$608:$AC$612,0)+COUNTIF($Y$608:$AC$612,Y609)-1</f>
        <v>3</v>
      </c>
      <c r="AV536" s="2349"/>
      <c r="AW536" s="2349"/>
      <c r="AX536" s="2349"/>
      <c r="AY536" s="2350"/>
      <c r="BM536" s="2351"/>
      <c r="BN536" s="2352"/>
      <c r="BO536" s="2352"/>
      <c r="BP536" s="2353"/>
      <c r="BQ536" s="2351"/>
      <c r="BR536" s="2352"/>
      <c r="BS536" s="2352"/>
      <c r="BT536" s="2353"/>
      <c r="BU536" s="2351">
        <f>IF(AND(BU534=2,BM534=1),1,0)</f>
        <v>0</v>
      </c>
      <c r="BV536" s="2352"/>
      <c r="BW536" s="2352"/>
      <c r="BX536" s="2353"/>
      <c r="BY536" s="2351">
        <f>IF(AND(BY534=2,BQ534=1),1,0)</f>
        <v>0</v>
      </c>
      <c r="BZ536" s="2352"/>
      <c r="CA536" s="2352"/>
      <c r="CB536" s="2353"/>
      <c r="CC536" s="2351">
        <f>IF(AND(CC535=2,BY535=1),1,0)</f>
        <v>0</v>
      </c>
      <c r="CD536" s="2352"/>
      <c r="CE536" s="2352"/>
      <c r="CF536" s="2353"/>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8">
        <f>RANK(T610,$T$608:$X$612,0)+COUNTIF($T$608:$X$612,T610)-1</f>
        <v>3</v>
      </c>
      <c r="AQ537" s="2349"/>
      <c r="AR537" s="2349"/>
      <c r="AS537" s="2349"/>
      <c r="AT537" s="2350"/>
      <c r="AU537" s="2348">
        <f>RANK(Y610,$Y$608:$AC$612,0)+COUNTIF($Y$608:$AC$612,Y610)-1</f>
        <v>2</v>
      </c>
      <c r="AV537" s="2349"/>
      <c r="AW537" s="2349"/>
      <c r="AX537" s="2349"/>
      <c r="AY537" s="2350"/>
      <c r="BM537" s="2351"/>
      <c r="BN537" s="2352"/>
      <c r="BO537" s="2352"/>
      <c r="BP537" s="2353"/>
      <c r="BQ537" s="2351"/>
      <c r="BR537" s="2352"/>
      <c r="BS537" s="2352"/>
      <c r="BT537" s="2353"/>
      <c r="BU537" s="2351"/>
      <c r="BV537" s="2352"/>
      <c r="BW537" s="2352"/>
      <c r="BX537" s="2353"/>
      <c r="BY537" s="2351">
        <f>IF(AND(BY534=2,BM534=1),1,0)</f>
        <v>0</v>
      </c>
      <c r="BZ537" s="2352"/>
      <c r="CA537" s="2352"/>
      <c r="CB537" s="2353"/>
      <c r="CC537" s="2351">
        <f>IF(AND(CC534=2,BQ534=1),1,0)</f>
        <v>0</v>
      </c>
      <c r="CD537" s="2352"/>
      <c r="CE537" s="2352"/>
      <c r="CF537" s="2353"/>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8">
        <f>RANK(T611,$T$608:$X$612,0)+COUNTIF($T$608:$X$612,T611)-1</f>
        <v>1</v>
      </c>
      <c r="AQ538" s="2349"/>
      <c r="AR538" s="2349"/>
      <c r="AS538" s="2349"/>
      <c r="AT538" s="2350"/>
      <c r="AU538" s="2348">
        <f>RANK(Y611,$Y$608:$AC$612,0)+COUNTIF($Y$608:$AC$612,Y611)-1</f>
        <v>1</v>
      </c>
      <c r="AV538" s="2349"/>
      <c r="AW538" s="2349"/>
      <c r="AX538" s="2349"/>
      <c r="AY538" s="2350"/>
      <c r="BM538" s="2351"/>
      <c r="BN538" s="2352"/>
      <c r="BO538" s="2352"/>
      <c r="BP538" s="2353"/>
      <c r="BQ538" s="2351"/>
      <c r="BR538" s="2352"/>
      <c r="BS538" s="2352"/>
      <c r="BT538" s="2353"/>
      <c r="BU538" s="2351"/>
      <c r="BV538" s="2352"/>
      <c r="BW538" s="2352"/>
      <c r="BX538" s="2353"/>
      <c r="BY538" s="2351"/>
      <c r="BZ538" s="2352"/>
      <c r="CA538" s="2352"/>
      <c r="CB538" s="2353"/>
      <c r="CC538" s="2351">
        <f>IF(AND(CC534=2,BM534=1),1,0)</f>
        <v>0</v>
      </c>
      <c r="CD538" s="2352"/>
      <c r="CE538" s="2352"/>
      <c r="CF538" s="2353"/>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8">
        <f>RANK(T612,$T$608:$X$612,0)+COUNTIF($T$608:$X$612,T612)-1</f>
        <v>5</v>
      </c>
      <c r="AQ539" s="2349"/>
      <c r="AR539" s="2349"/>
      <c r="AS539" s="2349"/>
      <c r="AT539" s="2350"/>
      <c r="AU539" s="2348">
        <f>RANK(Y612,$Y$608:$AC$612,0)+COUNTIF($Y$608:$AC$612,Y612)-1</f>
        <v>5</v>
      </c>
      <c r="AV539" s="2349"/>
      <c r="AW539" s="2349"/>
      <c r="AX539" s="2349"/>
      <c r="AY539" s="2350"/>
      <c r="BM539" s="2351">
        <f>SUM(BM535:BP538)</f>
        <v>0</v>
      </c>
      <c r="BN539" s="2352"/>
      <c r="BO539" s="2352"/>
      <c r="BP539" s="2353"/>
      <c r="BQ539" s="2351">
        <f>SUM(BQ535:BT538)</f>
        <v>0</v>
      </c>
      <c r="BR539" s="2352"/>
      <c r="BS539" s="2352"/>
      <c r="BT539" s="2353"/>
      <c r="BU539" s="2351">
        <f>SUM(BU535:BX538)</f>
        <v>0</v>
      </c>
      <c r="BV539" s="2352"/>
      <c r="BW539" s="2352"/>
      <c r="BX539" s="2353"/>
      <c r="BY539" s="2351">
        <f>SUM(BY535:CB538)</f>
        <v>0</v>
      </c>
      <c r="BZ539" s="2352"/>
      <c r="CA539" s="2352"/>
      <c r="CB539" s="2353"/>
      <c r="CC539" s="2351">
        <f>SUM(CC535:CF538)</f>
        <v>0</v>
      </c>
      <c r="CD539" s="2352"/>
      <c r="CE539" s="2352"/>
      <c r="CF539" s="2353"/>
      <c r="CG539" s="2351">
        <f>SUM(BM539:CF539)</f>
        <v>0</v>
      </c>
      <c r="CH539" s="2352"/>
      <c r="CI539" s="2352"/>
      <c r="CJ539" s="2353"/>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196</v>
      </c>
      <c r="AK542" s="2359">
        <f>SUM(AG486:AG531)</f>
        <v>0</v>
      </c>
      <c r="AL542" s="2417"/>
      <c r="AM542" s="236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4">
        <f>SUM(O608:S612)</f>
        <v>62</v>
      </c>
      <c r="AZ543" s="2355"/>
      <c r="CG543" s="35"/>
      <c r="CH543" s="2501" t="s">
        <v>848</v>
      </c>
      <c r="CI543" s="1675"/>
      <c r="CJ543" s="1675"/>
      <c r="CK543" s="167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4" t="str">
        <f>IF(AY543=BK570,"passed","failed")</f>
        <v>passed</v>
      </c>
      <c r="AT544" s="2356"/>
      <c r="AU544" s="2355"/>
      <c r="AV544" s="233"/>
      <c r="AW544" s="233"/>
      <c r="AX544" s="233"/>
      <c r="AY544" s="233"/>
      <c r="AZ544" s="234"/>
      <c r="CG544" s="35"/>
      <c r="CH544" s="1677"/>
      <c r="CI544" s="1678"/>
      <c r="CJ544" s="1678"/>
      <c r="CK544" s="1679"/>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409</v>
      </c>
      <c r="AF545" s="2375"/>
      <c r="AG545" s="2375"/>
      <c r="AH545" s="2375"/>
      <c r="AI545" s="2375"/>
      <c r="AJ545" s="2375"/>
      <c r="AK545" s="2375"/>
      <c r="AL545" s="1297"/>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677"/>
      <c r="CI545" s="1678"/>
      <c r="CJ545" s="1678"/>
      <c r="CK545" s="1679"/>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4" t="s">
        <v>199</v>
      </c>
      <c r="AH546" s="2364"/>
      <c r="AI546" s="2364"/>
      <c r="AJ546" s="2364"/>
      <c r="AK546" s="26"/>
      <c r="AL546" s="1297"/>
      <c r="AM546" s="65"/>
      <c r="AN546" s="439"/>
      <c r="BE546" s="2351" t="s">
        <v>249</v>
      </c>
      <c r="BF546" s="2352"/>
      <c r="BG546" s="2352"/>
      <c r="BH546" s="2353"/>
      <c r="BI546" s="2351" t="s">
        <v>783</v>
      </c>
      <c r="BJ546" s="2352"/>
      <c r="BK546" s="2352"/>
      <c r="BL546" s="2353"/>
      <c r="BM546" s="2351" t="s">
        <v>784</v>
      </c>
      <c r="BN546" s="2352"/>
      <c r="BO546" s="2352"/>
      <c r="BP546" s="2353"/>
      <c r="BQ546" s="2351" t="s">
        <v>785</v>
      </c>
      <c r="BR546" s="2352"/>
      <c r="BS546" s="2352"/>
      <c r="BT546" s="2353"/>
      <c r="BU546" s="2351" t="s">
        <v>786</v>
      </c>
      <c r="BV546" s="2352"/>
      <c r="BW546" s="2352"/>
      <c r="BX546" s="2353"/>
      <c r="BY546" s="2351" t="s">
        <v>250</v>
      </c>
      <c r="BZ546" s="2352"/>
      <c r="CA546" s="2352"/>
      <c r="CB546" s="2353"/>
      <c r="CC546" s="16"/>
      <c r="CG546" s="16"/>
      <c r="CH546" s="1677"/>
      <c r="CI546" s="1678"/>
      <c r="CJ546" s="1678"/>
      <c r="CK546" s="1679"/>
    </row>
    <row r="547" spans="1:89" s="46" customFormat="1" ht="12.75" customHeight="1">
      <c r="A547" s="152"/>
      <c r="B547" s="2329" t="s">
        <v>1940</v>
      </c>
      <c r="C547" s="2329"/>
      <c r="D547" s="2329"/>
      <c r="E547" s="2329"/>
      <c r="F547" s="2329"/>
      <c r="G547" s="2329"/>
      <c r="H547" s="2329"/>
      <c r="I547" s="2329"/>
      <c r="J547" s="2329"/>
      <c r="K547" s="2329"/>
      <c r="L547" s="2329"/>
      <c r="M547" s="2329"/>
      <c r="N547" s="2329"/>
      <c r="O547" s="2329"/>
      <c r="P547" s="2329"/>
      <c r="Q547" s="2329"/>
      <c r="R547" s="2329"/>
      <c r="S547" s="2329"/>
      <c r="T547" s="2329"/>
      <c r="U547" s="2329"/>
      <c r="V547" s="2329"/>
      <c r="W547" s="2329"/>
      <c r="X547" s="2329"/>
      <c r="Y547" s="2329"/>
      <c r="Z547" s="2329"/>
      <c r="AA547" s="2329"/>
      <c r="AB547" s="2329"/>
      <c r="AC547" s="2329"/>
      <c r="AD547" s="2329"/>
      <c r="AE547" s="2329"/>
      <c r="AF547" s="2329"/>
      <c r="AG547" s="2329"/>
      <c r="AK547" s="65"/>
      <c r="AL547" s="65"/>
      <c r="AM547" s="153"/>
      <c r="AN547" s="439"/>
      <c r="AP547" s="690" t="s">
        <v>679</v>
      </c>
      <c r="AQ547" s="691"/>
      <c r="AR547" s="691"/>
      <c r="AS547" s="691"/>
      <c r="AT547" s="691"/>
      <c r="AU547" s="691"/>
      <c r="AV547" s="692"/>
      <c r="AW547" s="691"/>
      <c r="AX547" s="691"/>
      <c r="AY547" s="692"/>
      <c r="BE547" s="2354">
        <f>IF(CH548=1,0,1)</f>
        <v>0</v>
      </c>
      <c r="BF547" s="2356"/>
      <c r="BG547" s="2356"/>
      <c r="BH547" s="2355"/>
      <c r="BI547" s="2354"/>
      <c r="BJ547" s="2356"/>
      <c r="BK547" s="2356"/>
      <c r="BL547" s="2355"/>
      <c r="BM547" s="2354"/>
      <c r="BN547" s="2356"/>
      <c r="BO547" s="2356"/>
      <c r="BP547" s="2355"/>
      <c r="BQ547" s="2354"/>
      <c r="BR547" s="2356"/>
      <c r="BS547" s="2356"/>
      <c r="BT547" s="2355"/>
      <c r="BU547" s="2481"/>
      <c r="BV547" s="2482"/>
      <c r="BW547" s="2482"/>
      <c r="BX547" s="2483"/>
      <c r="BY547" s="2481"/>
      <c r="BZ547" s="2482"/>
      <c r="CA547" s="2482"/>
      <c r="CB547" s="2483"/>
      <c r="CC547" s="16"/>
      <c r="CG547" s="16"/>
      <c r="CH547" s="1680"/>
      <c r="CI547" s="1681"/>
      <c r="CJ547" s="1681"/>
      <c r="CK547" s="1682"/>
    </row>
    <row r="548" spans="1:89" s="46" customFormat="1" ht="12.75" customHeight="1">
      <c r="A548" s="29"/>
      <c r="B548" s="2329"/>
      <c r="C548" s="2329"/>
      <c r="D548" s="2329"/>
      <c r="E548" s="2329"/>
      <c r="F548" s="2329"/>
      <c r="G548" s="2329"/>
      <c r="H548" s="2329"/>
      <c r="I548" s="2329"/>
      <c r="J548" s="2329"/>
      <c r="K548" s="2329"/>
      <c r="L548" s="2329"/>
      <c r="M548" s="2329"/>
      <c r="N548" s="2329"/>
      <c r="O548" s="2329"/>
      <c r="P548" s="2329"/>
      <c r="Q548" s="2329"/>
      <c r="R548" s="2329"/>
      <c r="S548" s="2329"/>
      <c r="T548" s="2329"/>
      <c r="U548" s="2329"/>
      <c r="V548" s="2329"/>
      <c r="W548" s="2329"/>
      <c r="X548" s="2329"/>
      <c r="Y548" s="2329"/>
      <c r="Z548" s="2329"/>
      <c r="AA548" s="2329"/>
      <c r="AB548" s="2329"/>
      <c r="AC548" s="2329"/>
      <c r="AD548" s="2329"/>
      <c r="AE548" s="2329"/>
      <c r="AF548" s="2329"/>
      <c r="AG548" s="2329"/>
      <c r="AK548" s="246"/>
      <c r="AL548" s="246"/>
      <c r="AM548" s="246"/>
      <c r="AN548" s="439"/>
      <c r="AP548" s="693" t="s">
        <v>677</v>
      </c>
      <c r="AQ548" s="694"/>
      <c r="AR548" s="694"/>
      <c r="AS548" s="694"/>
      <c r="AT548" s="694"/>
      <c r="AU548" s="2357">
        <f>ROUNDUP(BK570*0.1,0)</f>
        <v>7</v>
      </c>
      <c r="AV548" s="2358"/>
      <c r="AW548" s="694"/>
      <c r="AX548" s="694">
        <f>AU548-AP550</f>
        <v>-12</v>
      </c>
      <c r="AY548" s="695"/>
      <c r="BE548" s="2354"/>
      <c r="BF548" s="2356"/>
      <c r="BG548" s="2356"/>
      <c r="BH548" s="2355"/>
      <c r="BI548" s="2354">
        <f>IF(AND(CH549=1,BE547=0),0,1)</f>
        <v>0</v>
      </c>
      <c r="BJ548" s="2356"/>
      <c r="BK548" s="2356"/>
      <c r="BL548" s="2355"/>
      <c r="BM548" s="2354"/>
      <c r="BN548" s="2356"/>
      <c r="BO548" s="2356"/>
      <c r="BP548" s="2355"/>
      <c r="BQ548" s="2354"/>
      <c r="BR548" s="2356"/>
      <c r="BS548" s="2356"/>
      <c r="BT548" s="2355"/>
      <c r="BU548" s="2481"/>
      <c r="BV548" s="2482"/>
      <c r="BW548" s="2482"/>
      <c r="BX548" s="2483"/>
      <c r="BY548" s="2481"/>
      <c r="BZ548" s="2482"/>
      <c r="CA548" s="2482"/>
      <c r="CB548" s="2483"/>
      <c r="CC548" s="16"/>
      <c r="CG548" s="16"/>
      <c r="CH548" s="2351">
        <f>IF(OR(Y608=0,Y608&gt;=0.1),1,0)</f>
        <v>1</v>
      </c>
      <c r="CI548" s="2352"/>
      <c r="CJ548" s="2352"/>
      <c r="CK548" s="2353"/>
    </row>
    <row r="549" spans="1:89" s="46" customFormat="1" ht="12.75" customHeight="1">
      <c r="A549" s="28"/>
      <c r="B549" s="2329"/>
      <c r="C549" s="2329"/>
      <c r="D549" s="2329"/>
      <c r="E549" s="2329"/>
      <c r="F549" s="2329"/>
      <c r="G549" s="2329"/>
      <c r="H549" s="2329"/>
      <c r="I549" s="2329"/>
      <c r="J549" s="2329"/>
      <c r="K549" s="2329"/>
      <c r="L549" s="2329"/>
      <c r="M549" s="2329"/>
      <c r="N549" s="2329"/>
      <c r="O549" s="2329"/>
      <c r="P549" s="2329"/>
      <c r="Q549" s="2329"/>
      <c r="R549" s="2329"/>
      <c r="S549" s="2329"/>
      <c r="T549" s="2329"/>
      <c r="U549" s="2329"/>
      <c r="V549" s="2329"/>
      <c r="W549" s="2329"/>
      <c r="X549" s="2329"/>
      <c r="Y549" s="2329"/>
      <c r="Z549" s="2329"/>
      <c r="AA549" s="2329"/>
      <c r="AB549" s="2329"/>
      <c r="AC549" s="2329"/>
      <c r="AD549" s="2329"/>
      <c r="AE549" s="2329"/>
      <c r="AF549" s="2329"/>
      <c r="AG549" s="2329"/>
      <c r="AH549" s="245"/>
      <c r="AI549" s="245"/>
      <c r="AJ549" s="245"/>
      <c r="AK549" s="246"/>
      <c r="AL549" s="246"/>
      <c r="AM549" s="246"/>
      <c r="AN549" s="439"/>
      <c r="AP549" s="693"/>
      <c r="AQ549" s="694"/>
      <c r="AR549" s="694"/>
      <c r="AS549" s="694"/>
      <c r="AT549" s="694"/>
      <c r="AU549" s="694"/>
      <c r="AV549" s="695"/>
      <c r="AW549" s="694"/>
      <c r="AX549" s="694"/>
      <c r="AY549" s="695"/>
      <c r="BE549" s="2354"/>
      <c r="BF549" s="2356"/>
      <c r="BG549" s="2356"/>
      <c r="BH549" s="2355"/>
      <c r="BI549" s="2354"/>
      <c r="BJ549" s="2356"/>
      <c r="BK549" s="2356"/>
      <c r="BL549" s="2355"/>
      <c r="BM549" s="2354">
        <f>IF(AND(AND(CH550=1,BI548=0,BE547=0)),0,1)</f>
        <v>0</v>
      </c>
      <c r="BN549" s="2356"/>
      <c r="BO549" s="2356"/>
      <c r="BP549" s="2355"/>
      <c r="BQ549" s="2354"/>
      <c r="BR549" s="2356"/>
      <c r="BS549" s="2356"/>
      <c r="BT549" s="2355"/>
      <c r="BU549" s="2481"/>
      <c r="BV549" s="2482"/>
      <c r="BW549" s="2482"/>
      <c r="BX549" s="2483"/>
      <c r="BY549" s="2481"/>
      <c r="BZ549" s="2482"/>
      <c r="CA549" s="2482"/>
      <c r="CB549" s="2483"/>
      <c r="CC549" s="16"/>
      <c r="CG549" s="16"/>
      <c r="CH549" s="2351">
        <f>IF(OR(Y609=0,Y609&gt;=0.1),1,0)</f>
        <v>1</v>
      </c>
      <c r="CI549" s="2352"/>
      <c r="CJ549" s="2352"/>
      <c r="CK549" s="2353"/>
    </row>
    <row r="550" spans="1:89" s="46" customFormat="1" ht="12.75" customHeight="1">
      <c r="A550" s="28"/>
      <c r="B550" s="2329"/>
      <c r="C550" s="2329"/>
      <c r="D550" s="2329"/>
      <c r="E550" s="2329"/>
      <c r="F550" s="2329"/>
      <c r="G550" s="2329"/>
      <c r="H550" s="2329"/>
      <c r="I550" s="2329"/>
      <c r="J550" s="2329"/>
      <c r="K550" s="2329"/>
      <c r="L550" s="2329"/>
      <c r="M550" s="2329"/>
      <c r="N550" s="2329"/>
      <c r="O550" s="2329"/>
      <c r="P550" s="2329"/>
      <c r="Q550" s="2329"/>
      <c r="R550" s="2329"/>
      <c r="S550" s="2329"/>
      <c r="T550" s="2329"/>
      <c r="U550" s="2329"/>
      <c r="V550" s="2329"/>
      <c r="W550" s="2329"/>
      <c r="X550" s="2329"/>
      <c r="Y550" s="2329"/>
      <c r="Z550" s="2329"/>
      <c r="AA550" s="2329"/>
      <c r="AB550" s="2329"/>
      <c r="AC550" s="2329"/>
      <c r="AD550" s="2329"/>
      <c r="AE550" s="2329"/>
      <c r="AF550" s="2329"/>
      <c r="AG550" s="2329"/>
      <c r="AH550" s="245"/>
      <c r="AI550" s="245"/>
      <c r="AJ550" s="245"/>
      <c r="AK550" s="246"/>
      <c r="AL550" s="246"/>
      <c r="AM550" s="246"/>
      <c r="AN550" s="439"/>
      <c r="AP550" s="2382">
        <f>SUM(T608:X612)</f>
        <v>19</v>
      </c>
      <c r="AQ550" s="2383"/>
      <c r="AR550" s="2383"/>
      <c r="AS550" s="2383"/>
      <c r="AT550" s="2384"/>
      <c r="AU550" s="694"/>
      <c r="AV550" s="695"/>
      <c r="AW550" s="694"/>
      <c r="AX550" s="694"/>
      <c r="AY550" s="695"/>
      <c r="BE550" s="2354"/>
      <c r="BF550" s="2356"/>
      <c r="BG550" s="2356"/>
      <c r="BH550" s="2355"/>
      <c r="BI550" s="2354"/>
      <c r="BJ550" s="2356"/>
      <c r="BK550" s="2356"/>
      <c r="BL550" s="2355"/>
      <c r="BM550" s="2354"/>
      <c r="BN550" s="2356"/>
      <c r="BO550" s="2356"/>
      <c r="BP550" s="2355"/>
      <c r="BQ550" s="2354">
        <f>IF(AND(AND(AND(CH551=1,BM549=0,BI548=0,BE547=0))),0,1)</f>
        <v>0</v>
      </c>
      <c r="BR550" s="2356"/>
      <c r="BS550" s="2356"/>
      <c r="BT550" s="2355"/>
      <c r="BU550" s="2481"/>
      <c r="BV550" s="2482"/>
      <c r="BW550" s="2482"/>
      <c r="BX550" s="2483"/>
      <c r="BY550" s="2481"/>
      <c r="BZ550" s="2482"/>
      <c r="CA550" s="2482"/>
      <c r="CB550" s="2483"/>
      <c r="CC550" s="16"/>
      <c r="CG550" s="16"/>
      <c r="CH550" s="2351">
        <f>IF(OR(Y610=0,Y610&gt;=0.1),1,0)</f>
        <v>1</v>
      </c>
      <c r="CI550" s="2352"/>
      <c r="CJ550" s="2352"/>
      <c r="CK550" s="2353"/>
    </row>
    <row r="551" spans="1:89" s="46" customFormat="1" ht="12.75" customHeight="1">
      <c r="A551" s="28"/>
      <c r="B551" s="2329"/>
      <c r="C551" s="2329"/>
      <c r="D551" s="2329"/>
      <c r="E551" s="2329"/>
      <c r="F551" s="2329"/>
      <c r="G551" s="2329"/>
      <c r="H551" s="2329"/>
      <c r="I551" s="2329"/>
      <c r="J551" s="2329"/>
      <c r="K551" s="2329"/>
      <c r="L551" s="2329"/>
      <c r="M551" s="2329"/>
      <c r="N551" s="2329"/>
      <c r="O551" s="2329"/>
      <c r="P551" s="2329"/>
      <c r="Q551" s="2329"/>
      <c r="R551" s="2329"/>
      <c r="S551" s="2329"/>
      <c r="T551" s="2329"/>
      <c r="U551" s="2329"/>
      <c r="V551" s="2329"/>
      <c r="W551" s="2329"/>
      <c r="X551" s="2329"/>
      <c r="Y551" s="2329"/>
      <c r="Z551" s="2329"/>
      <c r="AA551" s="2329"/>
      <c r="AB551" s="2329"/>
      <c r="AC551" s="2329"/>
      <c r="AD551" s="2329"/>
      <c r="AE551" s="2329"/>
      <c r="AF551" s="2329"/>
      <c r="AG551" s="2329"/>
      <c r="AH551" s="245"/>
      <c r="AI551" s="245"/>
      <c r="AJ551" s="245"/>
      <c r="AK551" s="246"/>
      <c r="AL551" s="246"/>
      <c r="AM551" s="246"/>
      <c r="AN551" s="439"/>
      <c r="AP551" s="696"/>
      <c r="AQ551" s="697"/>
      <c r="AR551" s="697"/>
      <c r="AS551" s="697"/>
      <c r="AT551" s="698" t="s">
        <v>672</v>
      </c>
      <c r="AU551" s="2357" t="str">
        <f>IF(AP550&gt;=AU548,"passed","failed")</f>
        <v>passed</v>
      </c>
      <c r="AV551" s="2515"/>
      <c r="AW551" s="2358"/>
      <c r="AX551" s="699"/>
      <c r="AY551" s="700"/>
      <c r="BE551" s="2354"/>
      <c r="BF551" s="2356"/>
      <c r="BG551" s="2356"/>
      <c r="BH551" s="2355"/>
      <c r="BI551" s="2354"/>
      <c r="BJ551" s="2356"/>
      <c r="BK551" s="2356"/>
      <c r="BL551" s="2355"/>
      <c r="BM551" s="2354"/>
      <c r="BN551" s="2356"/>
      <c r="BO551" s="2356"/>
      <c r="BP551" s="2355"/>
      <c r="BQ551" s="2354"/>
      <c r="BR551" s="2356"/>
      <c r="BS551" s="2356"/>
      <c r="BT551" s="2355"/>
      <c r="BU551" s="2354">
        <f>IF(AND(AND(AND(AND(CH552=1,BQ550=0,BM549=0,BI548=0,BE547=0)))),0,1)</f>
        <v>0</v>
      </c>
      <c r="BV551" s="2356"/>
      <c r="BW551" s="2356"/>
      <c r="BX551" s="2355"/>
      <c r="BY551" s="2481"/>
      <c r="BZ551" s="2482"/>
      <c r="CA551" s="2482"/>
      <c r="CB551" s="2483"/>
      <c r="CC551" s="16"/>
      <c r="CD551" s="16"/>
      <c r="CE551" s="16"/>
      <c r="CF551" s="16"/>
      <c r="CG551" s="16"/>
      <c r="CH551" s="2351">
        <f>IF(OR(Y611=0,Y611&gt;=0.1),1,0)</f>
        <v>1</v>
      </c>
      <c r="CI551" s="2352"/>
      <c r="CJ551" s="2352"/>
      <c r="CK551" s="2353"/>
    </row>
    <row r="552" spans="1:89" s="46" customFormat="1" ht="13.65" customHeight="1">
      <c r="A552" s="28"/>
      <c r="B552" s="2329"/>
      <c r="C552" s="2329"/>
      <c r="D552" s="2329"/>
      <c r="E552" s="2329"/>
      <c r="F552" s="2329"/>
      <c r="G552" s="2329"/>
      <c r="H552" s="2329"/>
      <c r="I552" s="2329"/>
      <c r="J552" s="2329"/>
      <c r="K552" s="2329"/>
      <c r="L552" s="2329"/>
      <c r="M552" s="2329"/>
      <c r="N552" s="2329"/>
      <c r="O552" s="2329"/>
      <c r="P552" s="2329"/>
      <c r="Q552" s="2329"/>
      <c r="R552" s="2329"/>
      <c r="S552" s="2329"/>
      <c r="T552" s="2329"/>
      <c r="U552" s="2329"/>
      <c r="V552" s="2329"/>
      <c r="W552" s="2329"/>
      <c r="X552" s="2329"/>
      <c r="Y552" s="2329"/>
      <c r="Z552" s="2329"/>
      <c r="AA552" s="2329"/>
      <c r="AB552" s="2329"/>
      <c r="AC552" s="2329"/>
      <c r="AD552" s="2329"/>
      <c r="AE552" s="2329"/>
      <c r="AF552" s="2329"/>
      <c r="AG552" s="2329"/>
      <c r="AH552" s="245"/>
      <c r="AI552" s="245"/>
      <c r="AJ552" s="245"/>
      <c r="AK552" s="246"/>
      <c r="AL552" s="246"/>
      <c r="AM552" s="246"/>
      <c r="AN552" s="1136"/>
      <c r="BE552" s="2354">
        <f>SUM(BE547:BH551)</f>
        <v>0</v>
      </c>
      <c r="BF552" s="2356"/>
      <c r="BG552" s="2356"/>
      <c r="BH552" s="2355"/>
      <c r="BI552" s="2354">
        <f>SUM(BI547:BL551)</f>
        <v>0</v>
      </c>
      <c r="BJ552" s="2356"/>
      <c r="BK552" s="2356"/>
      <c r="BL552" s="2355"/>
      <c r="BM552" s="2354">
        <f>SUM(BM547:BP551)</f>
        <v>0</v>
      </c>
      <c r="BN552" s="2356"/>
      <c r="BO552" s="2356"/>
      <c r="BP552" s="2355"/>
      <c r="BQ552" s="2354">
        <f>SUM(BQ547:BT551)</f>
        <v>0</v>
      </c>
      <c r="BR552" s="2356"/>
      <c r="BS552" s="2356"/>
      <c r="BT552" s="2355"/>
      <c r="BU552" s="2354">
        <f>SUM(BU547:BX551)</f>
        <v>0</v>
      </c>
      <c r="BV552" s="2356"/>
      <c r="BW552" s="2356"/>
      <c r="BX552" s="2355"/>
      <c r="BY552" s="2354">
        <f>SUM(BY547:CB551)</f>
        <v>0</v>
      </c>
      <c r="BZ552" s="2356"/>
      <c r="CA552" s="2356"/>
      <c r="CB552" s="2355"/>
      <c r="CC552" s="2351">
        <f>IF(AND(CH548=1,T608&gt;0),0,SUM(BE552:CB552))</f>
        <v>0</v>
      </c>
      <c r="CD552" s="2352"/>
      <c r="CE552" s="2352"/>
      <c r="CF552" s="2353"/>
      <c r="CG552" s="16"/>
      <c r="CH552" s="2351">
        <f>IF(OR(Y612=0,Y612&gt;=0.1),1,0)</f>
        <v>1</v>
      </c>
      <c r="CI552" s="2352"/>
      <c r="CJ552" s="2352"/>
      <c r="CK552" s="2353"/>
    </row>
    <row r="553" spans="1:89" s="137" customFormat="1" ht="12.45" customHeight="1">
      <c r="A553" s="28"/>
      <c r="B553" s="2519" t="s">
        <v>1681</v>
      </c>
      <c r="C553" s="2519"/>
      <c r="D553" s="2519"/>
      <c r="E553" s="2519"/>
      <c r="F553" s="2519"/>
      <c r="G553" s="2519"/>
      <c r="H553" s="2519"/>
      <c r="I553" s="2519"/>
      <c r="J553" s="2519"/>
      <c r="K553" s="2519"/>
      <c r="L553" s="2519"/>
      <c r="M553" s="2519"/>
      <c r="N553" s="2519"/>
      <c r="O553" s="2519"/>
      <c r="P553" s="2519"/>
      <c r="Q553" s="2519"/>
      <c r="R553" s="2519"/>
      <c r="S553" s="2519"/>
      <c r="T553" s="2519"/>
      <c r="U553" s="2519"/>
      <c r="V553" s="2519"/>
      <c r="W553" s="2519"/>
      <c r="X553" s="2519"/>
      <c r="Y553" s="2519"/>
      <c r="Z553" s="2519"/>
      <c r="AA553" s="2519"/>
      <c r="AB553" s="2519"/>
      <c r="AC553" s="2519"/>
      <c r="AD553" s="2519"/>
      <c r="AE553" s="2519"/>
      <c r="AF553" s="2519"/>
      <c r="AG553" s="2519"/>
      <c r="AH553" s="245"/>
      <c r="AI553" s="245"/>
      <c r="AJ553" s="245"/>
      <c r="AK553" s="246"/>
      <c r="AL553" s="246"/>
      <c r="AM553" s="246"/>
      <c r="AN553" s="439"/>
    </row>
    <row r="554" spans="1:89" s="46" customFormat="1" ht="21" customHeight="1">
      <c r="A554" s="28"/>
      <c r="B554" s="2519"/>
      <c r="C554" s="2519"/>
      <c r="D554" s="2519"/>
      <c r="E554" s="2519"/>
      <c r="F554" s="2519"/>
      <c r="G554" s="2519"/>
      <c r="H554" s="2519"/>
      <c r="I554" s="2519"/>
      <c r="J554" s="2519"/>
      <c r="K554" s="2519"/>
      <c r="L554" s="2519"/>
      <c r="M554" s="2519"/>
      <c r="N554" s="2519"/>
      <c r="O554" s="2519"/>
      <c r="P554" s="2519"/>
      <c r="Q554" s="2519"/>
      <c r="R554" s="2519"/>
      <c r="S554" s="2519"/>
      <c r="T554" s="2519"/>
      <c r="U554" s="2519"/>
      <c r="V554" s="2519"/>
      <c r="W554" s="2519"/>
      <c r="X554" s="2519"/>
      <c r="Y554" s="2519"/>
      <c r="Z554" s="2519"/>
      <c r="AA554" s="2519"/>
      <c r="AB554" s="2519"/>
      <c r="AC554" s="2519"/>
      <c r="AD554" s="2519"/>
      <c r="AE554" s="2519"/>
      <c r="AF554" s="2519"/>
      <c r="AG554" s="2519"/>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19" t="s">
        <v>1996</v>
      </c>
      <c r="C555" s="2519"/>
      <c r="D555" s="2519"/>
      <c r="E555" s="2519"/>
      <c r="F555" s="2519"/>
      <c r="G555" s="2519"/>
      <c r="H555" s="2519"/>
      <c r="I555" s="2519"/>
      <c r="J555" s="2519"/>
      <c r="K555" s="2519"/>
      <c r="L555" s="2519"/>
      <c r="M555" s="2519"/>
      <c r="N555" s="2519"/>
      <c r="O555" s="2519"/>
      <c r="P555" s="2519"/>
      <c r="Q555" s="2519"/>
      <c r="R555" s="2519"/>
      <c r="S555" s="2519"/>
      <c r="T555" s="2519"/>
      <c r="U555" s="2519"/>
      <c r="V555" s="2519"/>
      <c r="W555" s="2519"/>
      <c r="X555" s="2519"/>
      <c r="Y555" s="2519"/>
      <c r="Z555" s="2519"/>
      <c r="AA555" s="2519"/>
      <c r="AB555" s="2519"/>
      <c r="AC555" s="2519"/>
      <c r="AD555" s="2519"/>
      <c r="AE555" s="2519"/>
      <c r="AF555" s="2519"/>
      <c r="AG555" s="1150"/>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19"/>
      <c r="C556" s="2519"/>
      <c r="D556" s="2519"/>
      <c r="E556" s="2519"/>
      <c r="F556" s="2519"/>
      <c r="G556" s="2519"/>
      <c r="H556" s="2519"/>
      <c r="I556" s="2519"/>
      <c r="J556" s="2519"/>
      <c r="K556" s="2519"/>
      <c r="L556" s="2519"/>
      <c r="M556" s="2519"/>
      <c r="N556" s="2519"/>
      <c r="O556" s="2519"/>
      <c r="P556" s="2519"/>
      <c r="Q556" s="2519"/>
      <c r="R556" s="2519"/>
      <c r="S556" s="2519"/>
      <c r="T556" s="2519"/>
      <c r="U556" s="2519"/>
      <c r="V556" s="2519"/>
      <c r="W556" s="2519"/>
      <c r="X556" s="2519"/>
      <c r="Y556" s="2519"/>
      <c r="Z556" s="2519"/>
      <c r="AA556" s="2519"/>
      <c r="AB556" s="2519"/>
      <c r="AC556" s="2519"/>
      <c r="AD556" s="2519"/>
      <c r="AE556" s="2519"/>
      <c r="AF556" s="2519"/>
      <c r="AG556" s="245"/>
      <c r="AH556" s="245"/>
      <c r="AI556" s="245"/>
      <c r="AJ556" s="245"/>
      <c r="AK556" s="246"/>
      <c r="AL556" s="246"/>
      <c r="AM556" s="246"/>
      <c r="AN556" s="439"/>
      <c r="AP556" s="232"/>
      <c r="AQ556" s="233"/>
      <c r="AR556" s="233"/>
      <c r="AS556" s="233"/>
      <c r="AT556" s="239" t="s">
        <v>672</v>
      </c>
      <c r="AU556" s="233"/>
      <c r="AV556" s="2354" t="str">
        <f>IF(BJ592&gt;0,"failed","passed")</f>
        <v>failed</v>
      </c>
      <c r="AW556" s="2356"/>
      <c r="AX556" s="2356"/>
      <c r="AY556" s="2355"/>
    </row>
    <row r="557" spans="1:89" s="46" customFormat="1" ht="12.45" customHeight="1">
      <c r="A557" s="28"/>
      <c r="B557" s="1151" t="s">
        <v>1685</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1" t="s">
        <v>1682</v>
      </c>
      <c r="R559" s="2381"/>
      <c r="S559" s="2381"/>
      <c r="T559" s="2381"/>
      <c r="U559" s="2381"/>
      <c r="V559" s="2381"/>
      <c r="W559" s="2381"/>
      <c r="X559" s="2381"/>
      <c r="Y559" s="2381"/>
      <c r="Z559" s="2381"/>
      <c r="AA559" s="2381"/>
      <c r="AB559" s="2381"/>
      <c r="AC559" s="2381"/>
      <c r="AD559" s="2381"/>
      <c r="AE559" s="2381"/>
      <c r="AF559" s="2381"/>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1"/>
      <c r="R560" s="2381"/>
      <c r="S560" s="2381"/>
      <c r="T560" s="2381"/>
      <c r="U560" s="2381"/>
      <c r="V560" s="2381"/>
      <c r="W560" s="2381"/>
      <c r="X560" s="2381"/>
      <c r="Y560" s="2381"/>
      <c r="Z560" s="2381"/>
      <c r="AA560" s="2381"/>
      <c r="AB560" s="2381"/>
      <c r="AC560" s="2381"/>
      <c r="AD560" s="2381"/>
      <c r="AE560" s="2381"/>
      <c r="AF560" s="2381"/>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9" t="s">
        <v>1995</v>
      </c>
      <c r="R561" s="2380"/>
      <c r="S561" s="2528" t="s">
        <v>227</v>
      </c>
      <c r="T561" s="2528"/>
      <c r="U561" s="2379">
        <v>0.5</v>
      </c>
      <c r="V561" s="2380"/>
      <c r="W561" s="2379">
        <v>0.45</v>
      </c>
      <c r="X561" s="2380"/>
      <c r="Y561" s="2379">
        <v>0.4</v>
      </c>
      <c r="Z561" s="2380"/>
      <c r="AA561" s="2379">
        <v>0.35</v>
      </c>
      <c r="AB561" s="2380"/>
      <c r="AC561" s="2513">
        <v>0.3</v>
      </c>
      <c r="AD561" s="2514"/>
      <c r="AE561" s="2379">
        <v>0.2</v>
      </c>
      <c r="AF561" s="238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6"/>
      <c r="P562" s="2317"/>
      <c r="Q562" s="2530"/>
      <c r="R562" s="2520"/>
      <c r="S562" s="2527"/>
      <c r="T562" s="2527"/>
      <c r="U562" s="2520"/>
      <c r="V562" s="2520"/>
      <c r="W562" s="2520"/>
      <c r="X562" s="2520"/>
      <c r="Y562" s="2520"/>
      <c r="Z562" s="2520"/>
      <c r="AA562" s="2529"/>
      <c r="AB562" s="2529"/>
      <c r="AC562" s="2520"/>
      <c r="AD562" s="2520"/>
      <c r="AE562" s="2511"/>
      <c r="AF562" s="2512"/>
      <c r="AN562" s="439"/>
      <c r="AP562" s="226" t="s">
        <v>780</v>
      </c>
      <c r="AQ562" s="91"/>
      <c r="AR562" s="91"/>
      <c r="AS562" s="91"/>
      <c r="AT562" s="2351" t="str">
        <f>IF(OR(AV556="passed",BD560="passed"),"passed","failed")</f>
        <v>passed</v>
      </c>
      <c r="AU562" s="2352"/>
      <c r="AV562" s="2352"/>
      <c r="AW562" s="2352"/>
      <c r="AX562" s="2353"/>
    </row>
    <row r="563" spans="1:96" s="46" customFormat="1" ht="12.75" customHeight="1">
      <c r="A563" s="28"/>
      <c r="B563" s="106"/>
      <c r="C563" s="28"/>
      <c r="I563" s="345"/>
      <c r="J563" s="245"/>
      <c r="K563" s="162"/>
      <c r="L563" s="162"/>
      <c r="M563" s="162"/>
      <c r="N563" s="71"/>
      <c r="O563" s="2316"/>
      <c r="P563" s="2317"/>
      <c r="Q563" s="2526"/>
      <c r="R563" s="2289"/>
      <c r="S563" s="2289"/>
      <c r="T563" s="2289"/>
      <c r="U563" s="2289"/>
      <c r="V563" s="2289"/>
      <c r="W563" s="2289"/>
      <c r="X563" s="2289"/>
      <c r="Y563" s="2288"/>
      <c r="Z563" s="2288"/>
      <c r="AA563" s="2289"/>
      <c r="AB563" s="2289"/>
      <c r="AC563" s="2288"/>
      <c r="AD563" s="2288"/>
      <c r="AE563" s="2290"/>
      <c r="AF563" s="229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6"/>
      <c r="P564" s="2317"/>
      <c r="Q564" s="2526"/>
      <c r="R564" s="2289"/>
      <c r="S564" s="2289"/>
      <c r="T564" s="2289"/>
      <c r="U564" s="2289"/>
      <c r="V564" s="2289"/>
      <c r="W564" s="2289"/>
      <c r="X564" s="2289"/>
      <c r="Y564" s="2289"/>
      <c r="Z564" s="2289"/>
      <c r="AA564" s="2288"/>
      <c r="AB564" s="2288"/>
      <c r="AC564" s="2289"/>
      <c r="AD564" s="2289"/>
      <c r="AE564" s="2325"/>
      <c r="AF564" s="2326"/>
      <c r="AN564" s="439"/>
      <c r="AP564" s="235" t="s">
        <v>673</v>
      </c>
      <c r="AQ564" s="236"/>
      <c r="AR564" s="236"/>
      <c r="AS564" s="236"/>
      <c r="AT564" s="236"/>
      <c r="AU564" s="236"/>
      <c r="AV564" s="237"/>
      <c r="AW564" s="2516" t="str">
        <f>IF(AND(AND(AND(AND(AS544="passed",AU551="passed",BD560="passed",SUM(T608:X612)&gt;1)))),"YES","NO")</f>
        <v>YES</v>
      </c>
      <c r="AX564" s="2517"/>
      <c r="AY564" s="251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6"/>
      <c r="P565" s="2317"/>
      <c r="Q565" s="2526"/>
      <c r="R565" s="2289"/>
      <c r="S565" s="2289"/>
      <c r="T565" s="2289"/>
      <c r="U565" s="2289"/>
      <c r="V565" s="2289"/>
      <c r="W565" s="2289"/>
      <c r="X565" s="2289"/>
      <c r="Y565" s="2288"/>
      <c r="Z565" s="2288"/>
      <c r="AA565" s="2289"/>
      <c r="AB565" s="2289"/>
      <c r="AC565" s="2288"/>
      <c r="AD565" s="2288"/>
      <c r="AE565" s="2290"/>
      <c r="AF565" s="2291"/>
      <c r="AN565" s="439"/>
    </row>
    <row r="566" spans="1:96" s="46" customFormat="1" ht="12.75" customHeight="1">
      <c r="A566" s="28"/>
      <c r="B566" s="106"/>
      <c r="C566" s="28"/>
      <c r="I566" s="345"/>
      <c r="J566" s="245"/>
      <c r="K566" s="162"/>
      <c r="L566" s="162"/>
      <c r="M566" s="162"/>
      <c r="N566" s="71"/>
      <c r="O566" s="2316"/>
      <c r="P566" s="2317"/>
      <c r="Q566" s="2526"/>
      <c r="R566" s="2289"/>
      <c r="S566" s="2289"/>
      <c r="T566" s="2289"/>
      <c r="U566" s="2289"/>
      <c r="V566" s="2289"/>
      <c r="W566" s="2288"/>
      <c r="X566" s="2288"/>
      <c r="Y566" s="2289"/>
      <c r="Z566" s="2289"/>
      <c r="AA566" s="2288"/>
      <c r="AB566" s="2288"/>
      <c r="AC566" s="2289"/>
      <c r="AD566" s="2289"/>
      <c r="AE566" s="2325"/>
      <c r="AF566" s="2326"/>
      <c r="AN566" s="439"/>
    </row>
    <row r="567" spans="1:96" s="46" customFormat="1" ht="12.75" customHeight="1">
      <c r="A567" s="28"/>
      <c r="B567" s="106"/>
      <c r="C567" s="28"/>
      <c r="I567" s="345"/>
      <c r="J567" s="245"/>
      <c r="K567" s="162"/>
      <c r="L567" s="162"/>
      <c r="M567" s="162"/>
      <c r="N567" s="71"/>
      <c r="O567" s="2316"/>
      <c r="P567" s="2317"/>
      <c r="Q567" s="2526"/>
      <c r="R567" s="2289"/>
      <c r="S567" s="2289"/>
      <c r="T567" s="2289"/>
      <c r="U567" s="2289"/>
      <c r="V567" s="2289"/>
      <c r="W567" s="2289"/>
      <c r="X567" s="2289"/>
      <c r="Y567" s="2288"/>
      <c r="Z567" s="2288"/>
      <c r="AA567" s="2289"/>
      <c r="AB567" s="2289"/>
      <c r="AC567" s="2288"/>
      <c r="AD567" s="2288"/>
      <c r="AE567" s="2290"/>
      <c r="AF567" s="2291"/>
      <c r="AN567" s="439"/>
      <c r="AU567" s="65"/>
      <c r="AV567" s="65"/>
      <c r="AW567" s="90"/>
      <c r="AX567" s="91"/>
      <c r="AY567" s="91"/>
      <c r="AZ567" s="100" t="s">
        <v>1248</v>
      </c>
      <c r="BA567" s="2484" t="s">
        <v>781</v>
      </c>
      <c r="BB567" s="2485"/>
      <c r="BC567" s="2485"/>
      <c r="BD567" s="2485"/>
      <c r="BE567" s="2486"/>
      <c r="BF567" s="2523">
        <f>SUM(O608:S612)</f>
        <v>62</v>
      </c>
      <c r="BG567" s="2524"/>
      <c r="BH567" s="2524"/>
      <c r="BI567" s="2524"/>
      <c r="BJ567" s="2525"/>
      <c r="BK567" s="2298">
        <f>SUM(T608:X612)</f>
        <v>19</v>
      </c>
      <c r="BL567" s="2299"/>
      <c r="BM567" s="2299"/>
      <c r="BN567" s="2299"/>
      <c r="BO567" s="2300"/>
    </row>
    <row r="568" spans="1:96" s="46" customFormat="1" ht="12.75" customHeight="1">
      <c r="A568" s="28"/>
      <c r="B568" s="57"/>
      <c r="C568" s="28"/>
      <c r="I568" s="2310" t="s">
        <v>1680</v>
      </c>
      <c r="J568" s="2311"/>
      <c r="K568" s="2311"/>
      <c r="L568" s="2311"/>
      <c r="M568" s="2311"/>
      <c r="N568" s="2312"/>
      <c r="O568" s="2316">
        <v>0.5</v>
      </c>
      <c r="P568" s="2317"/>
      <c r="Q568" s="2562"/>
      <c r="R568" s="2378"/>
      <c r="S568" s="2289"/>
      <c r="T568" s="2289"/>
      <c r="U568" s="2377" t="s">
        <v>1684</v>
      </c>
      <c r="V568" s="2377"/>
      <c r="W568" s="2563">
        <v>37.5</v>
      </c>
      <c r="X568" s="2563"/>
      <c r="Y568" s="2378"/>
      <c r="Z568" s="2378"/>
      <c r="AA568" s="2563"/>
      <c r="AB568" s="2563"/>
      <c r="AC568" s="2378"/>
      <c r="AD568" s="2378"/>
      <c r="AE568" s="2521"/>
      <c r="AF568" s="2522"/>
      <c r="AN568" s="439"/>
      <c r="CL568" s="16"/>
      <c r="CM568" s="16"/>
    </row>
    <row r="569" spans="1:96" s="46" customFormat="1" ht="12.75" customHeight="1">
      <c r="A569" s="28"/>
      <c r="B569" s="195"/>
      <c r="C569" s="101"/>
      <c r="D569" s="28"/>
      <c r="E569" s="28"/>
      <c r="I569" s="2310"/>
      <c r="J569" s="2311"/>
      <c r="K569" s="2311"/>
      <c r="L569" s="2311"/>
      <c r="M569" s="2311"/>
      <c r="N569" s="2312"/>
      <c r="O569" s="2316">
        <v>0.45</v>
      </c>
      <c r="P569" s="2317"/>
      <c r="Q569" s="2526"/>
      <c r="R569" s="2289"/>
      <c r="S569" s="2289"/>
      <c r="T569" s="2289"/>
      <c r="U569" s="2287" t="s">
        <v>145</v>
      </c>
      <c r="V569" s="2287"/>
      <c r="W569" s="2288">
        <v>33.799999999999997</v>
      </c>
      <c r="X569" s="2288"/>
      <c r="Y569" s="2288"/>
      <c r="Z569" s="2288"/>
      <c r="AA569" s="2289"/>
      <c r="AB569" s="2289"/>
      <c r="AC569" s="2288"/>
      <c r="AD569" s="2288"/>
      <c r="AE569" s="2290"/>
      <c r="AF569" s="2291"/>
      <c r="AN569" s="439"/>
      <c r="CL569" s="16"/>
      <c r="CM569" s="16"/>
    </row>
    <row r="570" spans="1:96" s="46" customFormat="1" ht="12.75" customHeight="1">
      <c r="A570" s="28"/>
      <c r="B570" s="8"/>
      <c r="C570" s="8"/>
      <c r="D570" s="8"/>
      <c r="E570" s="8"/>
      <c r="I570" s="2310"/>
      <c r="J570" s="2311"/>
      <c r="K570" s="2311"/>
      <c r="L570" s="2311"/>
      <c r="M570" s="2311"/>
      <c r="N570" s="2312"/>
      <c r="O570" s="2316">
        <v>0.4</v>
      </c>
      <c r="P570" s="2317"/>
      <c r="Q570" s="2526"/>
      <c r="R570" s="2289"/>
      <c r="S570" s="2287" t="s">
        <v>1683</v>
      </c>
      <c r="T570" s="2287"/>
      <c r="U570" s="2288">
        <v>20</v>
      </c>
      <c r="V570" s="2288"/>
      <c r="W570" s="2288">
        <v>30</v>
      </c>
      <c r="X570" s="2288"/>
      <c r="Y570" s="2288"/>
      <c r="Z570" s="2288"/>
      <c r="AA570" s="2288"/>
      <c r="AB570" s="2288"/>
      <c r="AC570" s="2288"/>
      <c r="AD570" s="2288"/>
      <c r="AE570" s="2290"/>
      <c r="AF570" s="2291"/>
      <c r="AN570" s="439"/>
      <c r="AP570" s="2487" t="s">
        <v>228</v>
      </c>
      <c r="AQ570" s="2488"/>
      <c r="AR570" s="2488"/>
      <c r="AS570" s="2488"/>
      <c r="AT570" s="2488"/>
      <c r="AU570" s="2488"/>
      <c r="AV570" s="2488"/>
      <c r="AW570" s="2488"/>
      <c r="AX570" s="2488"/>
      <c r="AY570" s="2488"/>
      <c r="AZ570" s="2488"/>
      <c r="BA570" s="2488"/>
      <c r="BB570" s="2488"/>
      <c r="BC570" s="2488"/>
      <c r="BD570" s="2488"/>
      <c r="BE570" s="2488"/>
      <c r="BF570" s="2488"/>
      <c r="BG570" s="2488"/>
      <c r="BH570" s="2488"/>
      <c r="BI570" s="2488"/>
      <c r="BJ570" s="2489"/>
      <c r="BK570" s="2505">
        <f>BF567</f>
        <v>62</v>
      </c>
      <c r="BL570" s="2506"/>
      <c r="BM570" s="2506"/>
      <c r="BN570" s="2506"/>
      <c r="BO570" s="250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0"/>
      <c r="J571" s="2311"/>
      <c r="K571" s="2311"/>
      <c r="L571" s="2311"/>
      <c r="M571" s="2311"/>
      <c r="N571" s="2312"/>
      <c r="O571" s="2316">
        <v>0.35</v>
      </c>
      <c r="P571" s="2317"/>
      <c r="Q571" s="2526"/>
      <c r="R571" s="2289"/>
      <c r="S571" s="2287" t="s">
        <v>1997</v>
      </c>
      <c r="T571" s="2287"/>
      <c r="U571" s="2288">
        <v>17.5</v>
      </c>
      <c r="V571" s="2288"/>
      <c r="W571" s="2288">
        <v>26.3</v>
      </c>
      <c r="X571" s="2288"/>
      <c r="Y571" s="2288">
        <v>35</v>
      </c>
      <c r="Z571" s="2288"/>
      <c r="AA571" s="2288"/>
      <c r="AB571" s="2288"/>
      <c r="AC571" s="2288">
        <v>50</v>
      </c>
      <c r="AD571" s="2288"/>
      <c r="AE571" s="2290"/>
      <c r="AF571" s="2291"/>
      <c r="AN571" s="439"/>
      <c r="AP571" s="2490"/>
      <c r="AQ571" s="2491"/>
      <c r="AR571" s="2491"/>
      <c r="AS571" s="2491"/>
      <c r="AT571" s="2491"/>
      <c r="AU571" s="2491"/>
      <c r="AV571" s="2491"/>
      <c r="AW571" s="2491"/>
      <c r="AX571" s="2491"/>
      <c r="AY571" s="2491"/>
      <c r="AZ571" s="2491"/>
      <c r="BA571" s="2491"/>
      <c r="BB571" s="2491"/>
      <c r="BC571" s="2491"/>
      <c r="BD571" s="2491"/>
      <c r="BE571" s="2491"/>
      <c r="BF571" s="2491"/>
      <c r="BG571" s="2491"/>
      <c r="BH571" s="2491"/>
      <c r="BI571" s="2491"/>
      <c r="BJ571" s="2492"/>
      <c r="BK571" s="2508"/>
      <c r="BL571" s="2509"/>
      <c r="BM571" s="2509"/>
      <c r="BN571" s="2509"/>
      <c r="BO571" s="251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0"/>
      <c r="J572" s="2311"/>
      <c r="K572" s="2311"/>
      <c r="L572" s="2311"/>
      <c r="M572" s="2311"/>
      <c r="N572" s="2312"/>
      <c r="O572" s="2316">
        <v>0.3</v>
      </c>
      <c r="P572" s="2317"/>
      <c r="Q572" s="2526"/>
      <c r="R572" s="2289"/>
      <c r="S572" s="2287" t="s">
        <v>1998</v>
      </c>
      <c r="T572" s="2287"/>
      <c r="U572" s="2288">
        <v>15</v>
      </c>
      <c r="V572" s="2288"/>
      <c r="W572" s="2288">
        <v>22.5</v>
      </c>
      <c r="X572" s="2288"/>
      <c r="Y572" s="2288">
        <v>30</v>
      </c>
      <c r="Z572" s="2288"/>
      <c r="AA572" s="2288">
        <v>37.5</v>
      </c>
      <c r="AB572" s="2288"/>
      <c r="AC572" s="2288">
        <v>45</v>
      </c>
      <c r="AD572" s="2288"/>
      <c r="AE572" s="2290"/>
      <c r="AF572" s="229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13">
        <v>5</v>
      </c>
      <c r="BK572" s="2480"/>
      <c r="BL572" s="2480"/>
      <c r="BM572" s="2480"/>
      <c r="BN572" s="2014"/>
      <c r="BO572" s="2013">
        <v>4</v>
      </c>
      <c r="BP572" s="2480"/>
      <c r="BQ572" s="2480"/>
      <c r="BR572" s="2480"/>
      <c r="BS572" s="2014"/>
      <c r="BT572" s="2013">
        <v>3</v>
      </c>
      <c r="BU572" s="2480"/>
      <c r="BV572" s="2480"/>
      <c r="BW572" s="2480"/>
      <c r="BX572" s="2014"/>
      <c r="BY572" s="2013">
        <v>2</v>
      </c>
      <c r="BZ572" s="2480"/>
      <c r="CA572" s="2480"/>
      <c r="CB572" s="2480"/>
      <c r="CC572" s="2014"/>
      <c r="CD572" s="2013">
        <v>1</v>
      </c>
      <c r="CE572" s="2480"/>
      <c r="CF572" s="2480"/>
      <c r="CG572" s="2480"/>
      <c r="CH572" s="2014"/>
      <c r="CI572" s="2013">
        <v>0</v>
      </c>
      <c r="CJ572" s="2480"/>
      <c r="CK572" s="2480"/>
      <c r="CL572" s="2480"/>
      <c r="CM572" s="2014"/>
      <c r="CN572" s="65"/>
      <c r="CO572" s="65"/>
      <c r="CP572" s="65"/>
      <c r="CQ572" s="65"/>
      <c r="CR572" s="65"/>
    </row>
    <row r="573" spans="1:96" s="46" customFormat="1" ht="12.75" customHeight="1">
      <c r="A573" s="28"/>
      <c r="B573" s="8"/>
      <c r="C573" s="8"/>
      <c r="D573" s="8"/>
      <c r="E573" s="8"/>
      <c r="I573" s="2310"/>
      <c r="J573" s="2311"/>
      <c r="K573" s="2311"/>
      <c r="L573" s="2311"/>
      <c r="M573" s="2311"/>
      <c r="N573" s="2312"/>
      <c r="O573" s="2316">
        <v>0.25</v>
      </c>
      <c r="P573" s="2317"/>
      <c r="Q573" s="2526"/>
      <c r="R573" s="2289"/>
      <c r="S573" s="2287" t="s">
        <v>1999</v>
      </c>
      <c r="T573" s="2287"/>
      <c r="U573" s="2288">
        <v>12.5</v>
      </c>
      <c r="V573" s="2288"/>
      <c r="W573" s="2288">
        <v>18.8</v>
      </c>
      <c r="X573" s="2288"/>
      <c r="Y573" s="2288">
        <v>25</v>
      </c>
      <c r="Z573" s="2288"/>
      <c r="AA573" s="2288">
        <v>31.3</v>
      </c>
      <c r="AB573" s="2288"/>
      <c r="AC573" s="2288">
        <v>37.5</v>
      </c>
      <c r="AD573" s="2288"/>
      <c r="AE573" s="2290">
        <v>50</v>
      </c>
      <c r="AF573" s="2291"/>
      <c r="AN573" s="439"/>
      <c r="AP573" s="2502" t="str">
        <f t="shared" ref="AP573:AP579" si="0">J607</f>
        <v>5 BR</v>
      </c>
      <c r="AQ573" s="2503"/>
      <c r="AR573" s="2503"/>
      <c r="AS573" s="2503"/>
      <c r="AT573" s="2504"/>
      <c r="AU573" s="2498">
        <f t="shared" ref="AU573:AU578" si="1">O607</f>
        <v>0</v>
      </c>
      <c r="AV573" s="2499"/>
      <c r="AW573" s="2499"/>
      <c r="AX573" s="2499"/>
      <c r="AY573" s="2500"/>
      <c r="AZ573" s="2498">
        <f t="shared" ref="AZ573:AZ578" si="2">T607</f>
        <v>0</v>
      </c>
      <c r="BA573" s="2499"/>
      <c r="BB573" s="2499"/>
      <c r="BC573" s="2499"/>
      <c r="BD573" s="2500"/>
      <c r="BE573" s="2030">
        <f t="shared" ref="BE573:BE578" si="3">Y607</f>
        <v>0</v>
      </c>
      <c r="BF573" s="2031"/>
      <c r="BG573" s="2031"/>
      <c r="BH573" s="2031"/>
      <c r="BI573" s="2032"/>
      <c r="BJ573" s="2013">
        <f>IF(OR(AP583=0,BE573&gt;=0.1),0,1)</f>
        <v>0</v>
      </c>
      <c r="BK573" s="2480"/>
      <c r="BL573" s="2480"/>
      <c r="BM573" s="2480"/>
      <c r="BN573" s="2014"/>
      <c r="BO573" s="2013"/>
      <c r="BP573" s="2480"/>
      <c r="BQ573" s="2480"/>
      <c r="BR573" s="2480"/>
      <c r="BS573" s="2014"/>
      <c r="BT573" s="2013"/>
      <c r="BU573" s="2480"/>
      <c r="BV573" s="2480"/>
      <c r="BW573" s="2480"/>
      <c r="BX573" s="2014"/>
      <c r="BY573" s="2013"/>
      <c r="BZ573" s="2480"/>
      <c r="CA573" s="2480"/>
      <c r="CB573" s="2480"/>
      <c r="CC573" s="2014"/>
      <c r="CD573" s="2013"/>
      <c r="CE573" s="2480"/>
      <c r="CF573" s="2480"/>
      <c r="CG573" s="2480"/>
      <c r="CH573" s="2014"/>
      <c r="CI573" s="2013"/>
      <c r="CJ573" s="2480"/>
      <c r="CK573" s="2480"/>
      <c r="CL573" s="2480"/>
      <c r="CM573" s="2014"/>
      <c r="CN573" s="65"/>
      <c r="CO573" s="65"/>
      <c r="CP573" s="65"/>
      <c r="CQ573" s="65"/>
      <c r="CR573" s="65"/>
    </row>
    <row r="574" spans="1:96" s="46" customFormat="1" ht="12.75" customHeight="1">
      <c r="A574" s="195"/>
      <c r="B574" s="8"/>
      <c r="C574" s="8"/>
      <c r="D574" s="8"/>
      <c r="E574" s="8"/>
      <c r="I574" s="2310"/>
      <c r="J574" s="2311"/>
      <c r="K574" s="2311"/>
      <c r="L574" s="2311"/>
      <c r="M574" s="2311"/>
      <c r="N574" s="2312"/>
      <c r="O574" s="2316">
        <v>0.2</v>
      </c>
      <c r="P574" s="2317"/>
      <c r="Q574" s="2526"/>
      <c r="R574" s="2289"/>
      <c r="S574" s="2533" t="s">
        <v>2002</v>
      </c>
      <c r="T574" s="2533"/>
      <c r="U574" s="2288">
        <v>10</v>
      </c>
      <c r="V574" s="2288"/>
      <c r="W574" s="2288">
        <v>15</v>
      </c>
      <c r="X574" s="2288"/>
      <c r="Y574" s="2288">
        <v>20</v>
      </c>
      <c r="Z574" s="2288"/>
      <c r="AA574" s="2288">
        <v>25</v>
      </c>
      <c r="AB574" s="2288"/>
      <c r="AC574" s="2288">
        <v>30</v>
      </c>
      <c r="AD574" s="2288"/>
      <c r="AE574" s="2290">
        <v>40</v>
      </c>
      <c r="AF574" s="2291"/>
      <c r="AN574" s="439"/>
      <c r="AP574" s="2502" t="str">
        <f t="shared" si="0"/>
        <v>4 BR</v>
      </c>
      <c r="AQ574" s="2503"/>
      <c r="AR574" s="2503"/>
      <c r="AS574" s="2503"/>
      <c r="AT574" s="2504"/>
      <c r="AU574" s="2498">
        <f t="shared" si="1"/>
        <v>0</v>
      </c>
      <c r="AV574" s="2499"/>
      <c r="AW574" s="2499"/>
      <c r="AX574" s="2499"/>
      <c r="AY574" s="2500"/>
      <c r="AZ574" s="2498">
        <f t="shared" si="2"/>
        <v>0</v>
      </c>
      <c r="BA574" s="2499"/>
      <c r="BB574" s="2499"/>
      <c r="BC574" s="2499"/>
      <c r="BD574" s="2500"/>
      <c r="BE574" s="2030">
        <f t="shared" si="3"/>
        <v>0</v>
      </c>
      <c r="BF574" s="2031"/>
      <c r="BG574" s="2031"/>
      <c r="BH574" s="2031"/>
      <c r="BI574" s="2032"/>
      <c r="BJ574" s="2013"/>
      <c r="BK574" s="2480"/>
      <c r="BL574" s="2480"/>
      <c r="BM574" s="2480"/>
      <c r="BN574" s="2014"/>
      <c r="BO574" s="2013">
        <f>IF(AND(AND(AZ573=0,BJ573=0,AP584=1)),1,0)</f>
        <v>0</v>
      </c>
      <c r="BP574" s="2480"/>
      <c r="BQ574" s="2480"/>
      <c r="BR574" s="2480"/>
      <c r="BS574" s="2014"/>
      <c r="BT574" s="2013"/>
      <c r="BU574" s="2480"/>
      <c r="BV574" s="2480"/>
      <c r="BW574" s="2480"/>
      <c r="BX574" s="2014"/>
      <c r="BY574" s="2013"/>
      <c r="BZ574" s="2480"/>
      <c r="CA574" s="2480"/>
      <c r="CB574" s="2480"/>
      <c r="CC574" s="2014"/>
      <c r="CD574" s="2013"/>
      <c r="CE574" s="2480"/>
      <c r="CF574" s="2480"/>
      <c r="CG574" s="2480"/>
      <c r="CH574" s="2014"/>
      <c r="CI574" s="2013"/>
      <c r="CJ574" s="2480"/>
      <c r="CK574" s="2480"/>
      <c r="CL574" s="2480"/>
      <c r="CM574" s="2014"/>
      <c r="CN574" s="65"/>
      <c r="CO574" s="65"/>
      <c r="CP574" s="65"/>
      <c r="CQ574" s="65"/>
      <c r="CR574" s="65"/>
    </row>
    <row r="575" spans="1:96" s="46" customFormat="1" ht="12.75" customHeight="1">
      <c r="A575" s="195"/>
      <c r="B575" s="8"/>
      <c r="C575" s="8"/>
      <c r="D575" s="8"/>
      <c r="E575" s="8"/>
      <c r="I575" s="2310"/>
      <c r="J575" s="2311"/>
      <c r="K575" s="2311"/>
      <c r="L575" s="2311"/>
      <c r="M575" s="2311"/>
      <c r="N575" s="2312"/>
      <c r="O575" s="2316">
        <v>0.15</v>
      </c>
      <c r="P575" s="2317"/>
      <c r="Q575" s="2526"/>
      <c r="R575" s="2289"/>
      <c r="S575" s="2287" t="s">
        <v>2000</v>
      </c>
      <c r="T575" s="2287"/>
      <c r="U575" s="2288">
        <v>7.5</v>
      </c>
      <c r="V575" s="2288"/>
      <c r="W575" s="2288">
        <v>11.3</v>
      </c>
      <c r="X575" s="2288"/>
      <c r="Y575" s="2288">
        <v>15</v>
      </c>
      <c r="Z575" s="2288"/>
      <c r="AA575" s="2288">
        <v>18.8</v>
      </c>
      <c r="AB575" s="2288"/>
      <c r="AC575" s="2288">
        <v>22.5</v>
      </c>
      <c r="AD575" s="2288"/>
      <c r="AE575" s="2290">
        <v>30</v>
      </c>
      <c r="AF575" s="2291"/>
      <c r="AK575" s="153"/>
      <c r="AL575" s="153"/>
      <c r="AM575" s="153"/>
      <c r="AN575" s="439"/>
      <c r="AP575" s="2502" t="str">
        <f t="shared" si="0"/>
        <v>3 BR</v>
      </c>
      <c r="AQ575" s="2503"/>
      <c r="AR575" s="2503"/>
      <c r="AS575" s="2503"/>
      <c r="AT575" s="2504"/>
      <c r="AU575" s="2498">
        <f t="shared" si="1"/>
        <v>19</v>
      </c>
      <c r="AV575" s="2499"/>
      <c r="AW575" s="2499"/>
      <c r="AX575" s="2499"/>
      <c r="AY575" s="2500"/>
      <c r="AZ575" s="2498">
        <f t="shared" si="2"/>
        <v>3</v>
      </c>
      <c r="BA575" s="2499"/>
      <c r="BB575" s="2499"/>
      <c r="BC575" s="2499"/>
      <c r="BD575" s="2500"/>
      <c r="BE575" s="2030">
        <f t="shared" si="3"/>
        <v>0.15789473684210525</v>
      </c>
      <c r="BF575" s="2031"/>
      <c r="BG575" s="2031"/>
      <c r="BH575" s="2031"/>
      <c r="BI575" s="2032"/>
      <c r="BJ575" s="2013"/>
      <c r="BK575" s="2480"/>
      <c r="BL575" s="2480"/>
      <c r="BM575" s="2480"/>
      <c r="BN575" s="2014"/>
      <c r="BO575" s="2013"/>
      <c r="BP575" s="2480"/>
      <c r="BQ575" s="2480"/>
      <c r="BR575" s="2480"/>
      <c r="BS575" s="2014"/>
      <c r="BT575" s="2013">
        <f>IF(AND(AND(AZ573+AZ574=0,BJ573+BO574=0,AP585=1)),1,0)</f>
        <v>0</v>
      </c>
      <c r="BU575" s="2480"/>
      <c r="BV575" s="2480"/>
      <c r="BW575" s="2480"/>
      <c r="BX575" s="2014"/>
      <c r="BY575" s="2013"/>
      <c r="BZ575" s="2480"/>
      <c r="CA575" s="2480"/>
      <c r="CB575" s="2480"/>
      <c r="CC575" s="2014"/>
      <c r="CD575" s="2013"/>
      <c r="CE575" s="2480"/>
      <c r="CF575" s="2480"/>
      <c r="CG575" s="2480"/>
      <c r="CH575" s="2014"/>
      <c r="CI575" s="2013"/>
      <c r="CJ575" s="2480"/>
      <c r="CK575" s="2480"/>
      <c r="CL575" s="2480"/>
      <c r="CM575" s="2014"/>
      <c r="CN575" s="65"/>
      <c r="CO575" s="65"/>
      <c r="CP575" s="65"/>
      <c r="CQ575" s="65"/>
      <c r="CR575" s="65"/>
    </row>
    <row r="576" spans="1:96" s="46" customFormat="1" ht="12.75" customHeight="1" thickBot="1">
      <c r="B576" s="8"/>
      <c r="C576" s="8"/>
      <c r="D576" s="8"/>
      <c r="E576" s="8"/>
      <c r="I576" s="2361"/>
      <c r="J576" s="2362"/>
      <c r="K576" s="2362"/>
      <c r="L576" s="2362"/>
      <c r="M576" s="2362"/>
      <c r="N576" s="2363"/>
      <c r="O576" s="2316">
        <v>0.1</v>
      </c>
      <c r="P576" s="2317"/>
      <c r="Q576" s="2531"/>
      <c r="R576" s="2532"/>
      <c r="S576" s="2287" t="s">
        <v>2001</v>
      </c>
      <c r="T576" s="2287"/>
      <c r="U576" s="2376">
        <v>5</v>
      </c>
      <c r="V576" s="2376"/>
      <c r="W576" s="2376">
        <v>7.5</v>
      </c>
      <c r="X576" s="2376"/>
      <c r="Y576" s="2376">
        <v>10</v>
      </c>
      <c r="Z576" s="2376"/>
      <c r="AA576" s="2376">
        <v>12.5</v>
      </c>
      <c r="AB576" s="2376"/>
      <c r="AC576" s="2376">
        <v>15</v>
      </c>
      <c r="AD576" s="2376"/>
      <c r="AE576" s="2292">
        <v>20</v>
      </c>
      <c r="AF576" s="2293"/>
      <c r="AK576" s="252"/>
      <c r="AL576" s="252"/>
      <c r="AM576" s="8"/>
      <c r="AN576" s="439"/>
      <c r="AP576" s="2502" t="str">
        <f t="shared" si="0"/>
        <v>2 BR</v>
      </c>
      <c r="AQ576" s="2503"/>
      <c r="AR576" s="2503"/>
      <c r="AS576" s="2503"/>
      <c r="AT576" s="2504"/>
      <c r="AU576" s="2498">
        <f t="shared" si="1"/>
        <v>16</v>
      </c>
      <c r="AV576" s="2499"/>
      <c r="AW576" s="2499"/>
      <c r="AX576" s="2499"/>
      <c r="AY576" s="2500"/>
      <c r="AZ576" s="2498">
        <f t="shared" si="2"/>
        <v>3</v>
      </c>
      <c r="BA576" s="2499"/>
      <c r="BB576" s="2499"/>
      <c r="BC576" s="2499"/>
      <c r="BD576" s="2500"/>
      <c r="BE576" s="2030">
        <f t="shared" si="3"/>
        <v>0.1875</v>
      </c>
      <c r="BF576" s="2031"/>
      <c r="BG576" s="2031"/>
      <c r="BH576" s="2031"/>
      <c r="BI576" s="2032"/>
      <c r="BJ576" s="2013"/>
      <c r="BK576" s="2480"/>
      <c r="BL576" s="2480"/>
      <c r="BM576" s="2480"/>
      <c r="BN576" s="2014"/>
      <c r="BO576" s="2013"/>
      <c r="BP576" s="2480"/>
      <c r="BQ576" s="2480"/>
      <c r="BR576" s="2480"/>
      <c r="BS576" s="2014"/>
      <c r="BT576" s="2013"/>
      <c r="BU576" s="2480"/>
      <c r="BV576" s="2480"/>
      <c r="BW576" s="2480"/>
      <c r="BX576" s="2014"/>
      <c r="BY576" s="2013">
        <f>IF(AND(AND(AZ573+AZ574+AZ575=0,BO574+BT575+BJ573=0,AP586=1)),1,0)</f>
        <v>0</v>
      </c>
      <c r="BZ576" s="2480"/>
      <c r="CA576" s="2480"/>
      <c r="CB576" s="2480"/>
      <c r="CC576" s="2014"/>
      <c r="CD576" s="2013"/>
      <c r="CE576" s="2480"/>
      <c r="CF576" s="2480"/>
      <c r="CG576" s="2480"/>
      <c r="CH576" s="2014"/>
      <c r="CI576" s="2013"/>
      <c r="CJ576" s="2480"/>
      <c r="CK576" s="2480"/>
      <c r="CL576" s="2480"/>
      <c r="CM576" s="2014"/>
      <c r="CN576" s="65"/>
      <c r="CO576" s="65"/>
      <c r="CP576" s="65"/>
      <c r="CQ576" s="65"/>
      <c r="CR576" s="65"/>
    </row>
    <row r="577" spans="2:96" s="46" customFormat="1" ht="12.75" customHeight="1">
      <c r="B577" s="8"/>
      <c r="C577" s="8"/>
      <c r="D577" s="8"/>
      <c r="E577" s="1907" t="s">
        <v>1043</v>
      </c>
      <c r="F577" s="1904"/>
      <c r="G577" s="1904"/>
      <c r="H577" s="1904"/>
      <c r="I577" s="1904"/>
      <c r="J577" s="1904"/>
      <c r="K577" s="1904"/>
      <c r="L577" s="1904"/>
      <c r="M577" s="1904"/>
      <c r="N577" s="1904"/>
      <c r="O577" s="1904"/>
      <c r="P577" s="1904"/>
      <c r="Q577" s="1904"/>
      <c r="R577" s="1904"/>
      <c r="S577" s="1904"/>
      <c r="T577" s="1904"/>
      <c r="U577" s="1904"/>
      <c r="V577" s="1904"/>
      <c r="W577" s="1904"/>
      <c r="X577" s="1904"/>
      <c r="Y577" s="1904"/>
      <c r="Z577" s="1904"/>
      <c r="AA577" s="1904"/>
      <c r="AB577" s="1904"/>
      <c r="AC577" s="1904"/>
      <c r="AD577" s="1904"/>
      <c r="AE577" s="1904"/>
      <c r="AF577" s="1904"/>
      <c r="AG577" s="1904"/>
      <c r="AH577" s="1905"/>
      <c r="AK577" s="252"/>
      <c r="AL577" s="252"/>
      <c r="AM577" s="8"/>
      <c r="AN577" s="439"/>
      <c r="AP577" s="2502" t="str">
        <f t="shared" si="0"/>
        <v>1 BR</v>
      </c>
      <c r="AQ577" s="2503"/>
      <c r="AR577" s="2503"/>
      <c r="AS577" s="2503"/>
      <c r="AT577" s="2504"/>
      <c r="AU577" s="2498">
        <f t="shared" si="1"/>
        <v>27</v>
      </c>
      <c r="AV577" s="2499"/>
      <c r="AW577" s="2499"/>
      <c r="AX577" s="2499"/>
      <c r="AY577" s="2500"/>
      <c r="AZ577" s="2498">
        <f t="shared" si="2"/>
        <v>13</v>
      </c>
      <c r="BA577" s="2499"/>
      <c r="BB577" s="2499"/>
      <c r="BC577" s="2499"/>
      <c r="BD577" s="2500"/>
      <c r="BE577" s="2030">
        <f t="shared" si="3"/>
        <v>0.48148148148148145</v>
      </c>
      <c r="BF577" s="2031"/>
      <c r="BG577" s="2031"/>
      <c r="BH577" s="2031"/>
      <c r="BI577" s="2032"/>
      <c r="BJ577" s="2013"/>
      <c r="BK577" s="2480"/>
      <c r="BL577" s="2480"/>
      <c r="BM577" s="2480"/>
      <c r="BN577" s="2014"/>
      <c r="BO577" s="2013"/>
      <c r="BP577" s="2480"/>
      <c r="BQ577" s="2480"/>
      <c r="BR577" s="2480"/>
      <c r="BS577" s="2014"/>
      <c r="BT577" s="2013"/>
      <c r="BU577" s="2480"/>
      <c r="BV577" s="2480"/>
      <c r="BW577" s="2480"/>
      <c r="BX577" s="2014"/>
      <c r="BY577" s="2013"/>
      <c r="BZ577" s="2480"/>
      <c r="CA577" s="2480"/>
      <c r="CB577" s="2480"/>
      <c r="CC577" s="2014"/>
      <c r="CD577" s="2013">
        <f>IF(AND(AND(BE574+BE575+BE576+BE573=0,BT575+BY576+BO574+BJ573=0,AP587=1)),1,0)</f>
        <v>0</v>
      </c>
      <c r="CE577" s="2480"/>
      <c r="CF577" s="2480"/>
      <c r="CG577" s="2480"/>
      <c r="CH577" s="2014"/>
      <c r="CI577" s="2013"/>
      <c r="CJ577" s="2480"/>
      <c r="CK577" s="2480"/>
      <c r="CL577" s="2480"/>
      <c r="CM577" s="2014"/>
      <c r="CN577" s="65"/>
      <c r="CO577" s="65"/>
      <c r="CP577" s="65"/>
      <c r="CQ577" s="65"/>
      <c r="CR577" s="65"/>
    </row>
    <row r="578" spans="2:96" s="46" customFormat="1" ht="12.75" customHeight="1">
      <c r="E578" s="1923"/>
      <c r="F578" s="1996"/>
      <c r="G578" s="1996"/>
      <c r="H578" s="1996"/>
      <c r="I578" s="1996"/>
      <c r="J578" s="1996"/>
      <c r="K578" s="1996"/>
      <c r="L578" s="1996"/>
      <c r="M578" s="1996"/>
      <c r="N578" s="1996"/>
      <c r="O578" s="1996"/>
      <c r="P578" s="1996"/>
      <c r="Q578" s="1996"/>
      <c r="R578" s="1996"/>
      <c r="S578" s="1996"/>
      <c r="T578" s="1996"/>
      <c r="U578" s="1996"/>
      <c r="V578" s="1996"/>
      <c r="W578" s="1996"/>
      <c r="X578" s="1996"/>
      <c r="Y578" s="1996"/>
      <c r="Z578" s="1996"/>
      <c r="AA578" s="1996"/>
      <c r="AB578" s="1996"/>
      <c r="AC578" s="1996"/>
      <c r="AD578" s="1996"/>
      <c r="AE578" s="1996"/>
      <c r="AF578" s="1996"/>
      <c r="AG578" s="1996"/>
      <c r="AH578" s="2388"/>
      <c r="AN578" s="439"/>
      <c r="AP578" s="2502" t="str">
        <f t="shared" si="0"/>
        <v>SRO</v>
      </c>
      <c r="AQ578" s="2503"/>
      <c r="AR578" s="2503"/>
      <c r="AS578" s="2503"/>
      <c r="AT578" s="2504"/>
      <c r="AU578" s="2498">
        <f t="shared" si="1"/>
        <v>0</v>
      </c>
      <c r="AV578" s="2499"/>
      <c r="AW578" s="2499"/>
      <c r="AX578" s="2499"/>
      <c r="AY578" s="2500"/>
      <c r="AZ578" s="2498">
        <f t="shared" si="2"/>
        <v>0</v>
      </c>
      <c r="BA578" s="2499"/>
      <c r="BB578" s="2499"/>
      <c r="BC578" s="2499"/>
      <c r="BD578" s="2500"/>
      <c r="BE578" s="2030">
        <f t="shared" si="3"/>
        <v>0</v>
      </c>
      <c r="BF578" s="2031"/>
      <c r="BG578" s="2031"/>
      <c r="BH578" s="2031"/>
      <c r="BI578" s="2032"/>
      <c r="BJ578" s="2013"/>
      <c r="BK578" s="2480"/>
      <c r="BL578" s="2480"/>
      <c r="BM578" s="2480"/>
      <c r="BN578" s="2014"/>
      <c r="BO578" s="2013"/>
      <c r="BP578" s="2480"/>
      <c r="BQ578" s="2480"/>
      <c r="BR578" s="2480"/>
      <c r="BS578" s="2014"/>
      <c r="BT578" s="2013"/>
      <c r="BU578" s="2480"/>
      <c r="BV578" s="2480"/>
      <c r="BW578" s="2480"/>
      <c r="BX578" s="2014"/>
      <c r="BY578" s="2013"/>
      <c r="BZ578" s="2480"/>
      <c r="CA578" s="2480"/>
      <c r="CB578" s="2480"/>
      <c r="CC578" s="2014"/>
      <c r="CD578" s="2013"/>
      <c r="CE578" s="2480"/>
      <c r="CF578" s="2480"/>
      <c r="CG578" s="2480"/>
      <c r="CH578" s="2014"/>
      <c r="CI578" s="2013">
        <f>IF(AND(AND(AZ575+AZ576+AZ577+AZ574+AZ573=0,BY576+CD577+BT575+BO574+BJ573=0,AP588=1)),1,0)</f>
        <v>0</v>
      </c>
      <c r="CJ578" s="2480"/>
      <c r="CK578" s="2480"/>
      <c r="CL578" s="2480"/>
      <c r="CM578" s="2014"/>
      <c r="CN578" s="65"/>
      <c r="CO578" s="65"/>
      <c r="CP578" s="65"/>
      <c r="CQ578" s="65"/>
      <c r="CR578" s="65"/>
    </row>
    <row r="579" spans="2:96" s="46" customFormat="1" ht="12.75" customHeight="1">
      <c r="E579" s="2301" t="s">
        <v>1690</v>
      </c>
      <c r="F579" s="2302"/>
      <c r="G579" s="2302"/>
      <c r="H579" s="2302"/>
      <c r="I579" s="2302"/>
      <c r="J579" s="2303"/>
      <c r="K579" s="2301" t="s">
        <v>1993</v>
      </c>
      <c r="L579" s="2302"/>
      <c r="M579" s="2302"/>
      <c r="N579" s="2302"/>
      <c r="O579" s="2302"/>
      <c r="P579" s="2303"/>
      <c r="Q579" s="2307" t="s">
        <v>1686</v>
      </c>
      <c r="R579" s="2308"/>
      <c r="S579" s="2308"/>
      <c r="T579" s="2308"/>
      <c r="U579" s="2308"/>
      <c r="V579" s="2309"/>
      <c r="W579" s="2307" t="str">
        <f>I568</f>
        <v>Percent of Low-Income Units (exclusive of manager’s units)</v>
      </c>
      <c r="X579" s="2308"/>
      <c r="Y579" s="2308"/>
      <c r="Z579" s="2308"/>
      <c r="AA579" s="2308"/>
      <c r="AB579" s="2309"/>
      <c r="AC579" s="2307" t="s">
        <v>1689</v>
      </c>
      <c r="AD579" s="2308"/>
      <c r="AE579" s="2308"/>
      <c r="AF579" s="2308"/>
      <c r="AG579" s="2308"/>
      <c r="AH579" s="2309"/>
      <c r="AN579" s="439"/>
      <c r="AP579" s="2502" t="str">
        <f t="shared" si="0"/>
        <v>Total:</v>
      </c>
      <c r="AQ579" s="2503"/>
      <c r="AR579" s="2503"/>
      <c r="AS579" s="2503"/>
      <c r="AT579" s="2504"/>
      <c r="AU579" s="2502"/>
      <c r="AV579" s="2503"/>
      <c r="AW579" s="2503"/>
      <c r="AX579" s="2503"/>
      <c r="AY579" s="2504"/>
      <c r="AZ579" s="2502"/>
      <c r="BA579" s="2503"/>
      <c r="BB579" s="2503"/>
      <c r="BC579" s="2503"/>
      <c r="BD579" s="2504"/>
      <c r="BE579" s="2502"/>
      <c r="BF579" s="2503"/>
      <c r="BG579" s="2503"/>
      <c r="BH579" s="2503"/>
      <c r="BI579" s="2504"/>
      <c r="BJ579" s="2013">
        <f>SUM(BJ573:BN578)</f>
        <v>0</v>
      </c>
      <c r="BK579" s="2480"/>
      <c r="BL579" s="2480"/>
      <c r="BM579" s="2480"/>
      <c r="BN579" s="2014"/>
      <c r="BO579" s="2013">
        <f>SUM(BO573:BS578)</f>
        <v>0</v>
      </c>
      <c r="BP579" s="2480"/>
      <c r="BQ579" s="2480"/>
      <c r="BR579" s="2480"/>
      <c r="BS579" s="2014"/>
      <c r="BT579" s="2013">
        <f>SUM(BT573:BX578)</f>
        <v>0</v>
      </c>
      <c r="BU579" s="2480"/>
      <c r="BV579" s="2480"/>
      <c r="BW579" s="2480"/>
      <c r="BX579" s="2014"/>
      <c r="BY579" s="2013">
        <f>SUM(BY573:CC578)</f>
        <v>0</v>
      </c>
      <c r="BZ579" s="2480"/>
      <c r="CA579" s="2480"/>
      <c r="CB579" s="2480"/>
      <c r="CC579" s="2014"/>
      <c r="CD579" s="2013">
        <f>SUM(CD573:CH578)</f>
        <v>0</v>
      </c>
      <c r="CE579" s="2480"/>
      <c r="CF579" s="2480"/>
      <c r="CG579" s="2480"/>
      <c r="CH579" s="2014"/>
      <c r="CI579" s="2013">
        <f>SUM(CI573:CM578)</f>
        <v>0</v>
      </c>
      <c r="CJ579" s="2480"/>
      <c r="CK579" s="2480"/>
      <c r="CL579" s="2480"/>
      <c r="CM579" s="2014"/>
      <c r="CN579" s="2013">
        <f>SUM(BJ579:CM579)</f>
        <v>0</v>
      </c>
      <c r="CO579" s="2480"/>
      <c r="CP579" s="2480"/>
      <c r="CQ579" s="2480"/>
      <c r="CR579" s="2014"/>
    </row>
    <row r="580" spans="2:96" s="46" customFormat="1" ht="12.75" customHeight="1">
      <c r="E580" s="2304"/>
      <c r="F580" s="2305"/>
      <c r="G580" s="2305"/>
      <c r="H580" s="2305"/>
      <c r="I580" s="2305"/>
      <c r="J580" s="2306"/>
      <c r="K580" s="2304"/>
      <c r="L580" s="2305"/>
      <c r="M580" s="2305"/>
      <c r="N580" s="2305"/>
      <c r="O580" s="2305"/>
      <c r="P580" s="2306"/>
      <c r="Q580" s="2310"/>
      <c r="R580" s="2311"/>
      <c r="S580" s="2311"/>
      <c r="T580" s="2311"/>
      <c r="U580" s="2311"/>
      <c r="V580" s="2312"/>
      <c r="W580" s="2310"/>
      <c r="X580" s="2311"/>
      <c r="Y580" s="2311"/>
      <c r="Z580" s="2311"/>
      <c r="AA580" s="2311"/>
      <c r="AB580" s="2312"/>
      <c r="AC580" s="2310"/>
      <c r="AD580" s="2311"/>
      <c r="AE580" s="2311"/>
      <c r="AF580" s="2311"/>
      <c r="AG580" s="2311"/>
      <c r="AH580" s="2312"/>
      <c r="AN580" s="439"/>
    </row>
    <row r="581" spans="2:96" s="46" customFormat="1" ht="12.75" customHeight="1">
      <c r="E581" s="2304"/>
      <c r="F581" s="2305"/>
      <c r="G581" s="2305"/>
      <c r="H581" s="2305"/>
      <c r="I581" s="2305"/>
      <c r="J581" s="2306"/>
      <c r="K581" s="2304"/>
      <c r="L581" s="2305"/>
      <c r="M581" s="2305"/>
      <c r="N581" s="2305"/>
      <c r="O581" s="2305"/>
      <c r="P581" s="2306"/>
      <c r="Q581" s="2310"/>
      <c r="R581" s="2311"/>
      <c r="S581" s="2311"/>
      <c r="T581" s="2311"/>
      <c r="U581" s="2311"/>
      <c r="V581" s="2312"/>
      <c r="W581" s="2310"/>
      <c r="X581" s="2311"/>
      <c r="Y581" s="2311"/>
      <c r="Z581" s="2311"/>
      <c r="AA581" s="2311"/>
      <c r="AB581" s="2312"/>
      <c r="AC581" s="2310"/>
      <c r="AD581" s="2311"/>
      <c r="AE581" s="2311"/>
      <c r="AF581" s="2311"/>
      <c r="AG581" s="2311"/>
      <c r="AH581" s="2312"/>
      <c r="AN581" s="439"/>
    </row>
    <row r="582" spans="2:96" s="46" customFormat="1" ht="12.75" customHeight="1">
      <c r="E582" s="2304"/>
      <c r="F582" s="2305"/>
      <c r="G582" s="2305"/>
      <c r="H582" s="2305"/>
      <c r="I582" s="2305"/>
      <c r="J582" s="2306"/>
      <c r="K582" s="2304"/>
      <c r="L582" s="2305"/>
      <c r="M582" s="2305"/>
      <c r="N582" s="2305"/>
      <c r="O582" s="2305"/>
      <c r="P582" s="2306"/>
      <c r="Q582" s="2310"/>
      <c r="R582" s="2311"/>
      <c r="S582" s="2311"/>
      <c r="T582" s="2311"/>
      <c r="U582" s="2311"/>
      <c r="V582" s="2312"/>
      <c r="W582" s="2310"/>
      <c r="X582" s="2311"/>
      <c r="Y582" s="2311"/>
      <c r="Z582" s="2311"/>
      <c r="AA582" s="2311"/>
      <c r="AB582" s="2312"/>
      <c r="AC582" s="2310"/>
      <c r="AD582" s="2311"/>
      <c r="AE582" s="2311"/>
      <c r="AF582" s="2311"/>
      <c r="AG582" s="2311"/>
      <c r="AH582" s="2312"/>
      <c r="AN582" s="439"/>
      <c r="AP582" s="63" t="s">
        <v>1249</v>
      </c>
      <c r="BH582" s="63" t="s">
        <v>1250</v>
      </c>
    </row>
    <row r="583" spans="2:96" s="46" customFormat="1" ht="12.75" customHeight="1">
      <c r="E583" s="2295"/>
      <c r="F583" s="2296"/>
      <c r="G583" s="2296"/>
      <c r="H583" s="2296"/>
      <c r="I583" s="2296"/>
      <c r="J583" s="2297"/>
      <c r="K583" s="2298">
        <v>20</v>
      </c>
      <c r="L583" s="2299"/>
      <c r="M583" s="2299"/>
      <c r="N583" s="2299"/>
      <c r="O583" s="2299"/>
      <c r="P583" s="2300"/>
      <c r="Q583" s="2451">
        <f t="shared" ref="Q583" si="4">IF(ISERROR(IF((((E583/$BJ$530)*100)&gt;100),"EXCESSIVE VALUE",(E583/$BJ$530)*100)),0,IF((((E583/$BJ$530)*100)&gt;100),"EXCESSIVE VALUE",(E583/$BJ$530)*100))</f>
        <v>0</v>
      </c>
      <c r="R583" s="2452"/>
      <c r="S583" s="2452"/>
      <c r="T583" s="2452"/>
      <c r="U583" s="2452"/>
      <c r="V583" s="2453"/>
      <c r="W583" s="2313">
        <f>IF(FLOOR(Q583,5)&gt;80,80,FLOOR(Q583,5))</f>
        <v>0</v>
      </c>
      <c r="X583" s="2314"/>
      <c r="Y583" s="2314"/>
      <c r="Z583" s="2314"/>
      <c r="AA583" s="2314"/>
      <c r="AB583" s="2315"/>
      <c r="AC583" s="2313">
        <f t="shared" ref="AC583:AC588" si="5">IF(W583&gt;0,INDEX($BI$509:$BP$523,MATCH(W583,$BH$509:$BH$523,0),MATCH(K583,$BI$508:$BP$508,0)),0)</f>
        <v>0</v>
      </c>
      <c r="AD583" s="2314"/>
      <c r="AE583" s="2314"/>
      <c r="AF583" s="2314"/>
      <c r="AG583" s="2314"/>
      <c r="AH583" s="2315"/>
      <c r="AN583" s="439"/>
      <c r="AO583" s="46">
        <v>5</v>
      </c>
      <c r="AP583" s="2495">
        <f t="shared" ref="AP583:AP588" si="6">IF(OR(BE573&gt;=0.1,BE573=0),0,1)</f>
        <v>0</v>
      </c>
      <c r="AQ583" s="2496"/>
      <c r="AR583" s="2496"/>
      <c r="AS583" s="2496"/>
      <c r="AT583" s="2497"/>
      <c r="AX583" s="2354" t="s">
        <v>870</v>
      </c>
      <c r="AY583" s="2356"/>
      <c r="AZ583" s="2356"/>
      <c r="BA583" s="2356"/>
      <c r="BB583" s="2356"/>
      <c r="BC583" s="2356"/>
      <c r="BD583" s="2356"/>
      <c r="BE583" s="2356"/>
      <c r="BF583" s="2356"/>
      <c r="BG583" s="2356"/>
      <c r="BH583" s="2356"/>
      <c r="BI583" s="2356"/>
      <c r="BJ583" s="2356"/>
      <c r="BK583" s="2356"/>
      <c r="BL583" s="2356"/>
      <c r="BM583" s="2356"/>
      <c r="BN583" s="2356"/>
      <c r="BO583" s="2356"/>
      <c r="BP583" s="2356"/>
      <c r="BQ583" s="2355"/>
    </row>
    <row r="584" spans="2:96" s="46" customFormat="1" ht="12.75" customHeight="1">
      <c r="E584" s="2295">
        <v>19</v>
      </c>
      <c r="F584" s="2296"/>
      <c r="G584" s="2296"/>
      <c r="H584" s="2296"/>
      <c r="I584" s="2296"/>
      <c r="J584" s="2297"/>
      <c r="K584" s="2298">
        <v>30</v>
      </c>
      <c r="L584" s="2299"/>
      <c r="M584" s="2299"/>
      <c r="N584" s="2299"/>
      <c r="O584" s="2299"/>
      <c r="P584" s="2300"/>
      <c r="Q584" s="2451">
        <f t="shared" ref="Q584:Q591" si="7">IF(ISERROR(IF((((E584/$BJ$530)*100)&gt;100),"EXCESSIVE VALUE",(E584/$BJ$530)*100)),0,IF((((E584/$BJ$530)*100)&gt;100),"EXCESSIVE VALUE",(E584/$BJ$530)*100))</f>
        <v>30.64516129032258</v>
      </c>
      <c r="R584" s="2452"/>
      <c r="S584" s="2452"/>
      <c r="T584" s="2452"/>
      <c r="U584" s="2452"/>
      <c r="V584" s="2453"/>
      <c r="W584" s="2313">
        <f>IF(FLOOR(Q584,5)&gt;80,80,FLOOR(Q584,5))</f>
        <v>30</v>
      </c>
      <c r="X584" s="2314"/>
      <c r="Y584" s="2314"/>
      <c r="Z584" s="2314"/>
      <c r="AA584" s="2314"/>
      <c r="AB584" s="2315"/>
      <c r="AC584" s="2313">
        <f t="shared" si="5"/>
        <v>45</v>
      </c>
      <c r="AD584" s="2314"/>
      <c r="AE584" s="2314"/>
      <c r="AF584" s="2314"/>
      <c r="AG584" s="2314"/>
      <c r="AH584" s="2315"/>
      <c r="AN584" s="439"/>
      <c r="AO584" s="46">
        <v>4</v>
      </c>
      <c r="AP584" s="2495">
        <f t="shared" si="6"/>
        <v>0</v>
      </c>
      <c r="AQ584" s="2496"/>
      <c r="AR584" s="2496"/>
      <c r="AS584" s="2496"/>
      <c r="AT584" s="2497"/>
      <c r="AX584" s="2426" t="s">
        <v>682</v>
      </c>
      <c r="AY584" s="2427"/>
      <c r="AZ584" s="1733" t="s">
        <v>682</v>
      </c>
      <c r="BA584" s="1735"/>
      <c r="BB584" s="2426" t="s">
        <v>293</v>
      </c>
      <c r="BC584" s="2427"/>
      <c r="BD584" s="2351" t="s">
        <v>293</v>
      </c>
      <c r="BE584" s="2353"/>
      <c r="BF584" s="2426" t="s">
        <v>292</v>
      </c>
      <c r="BG584" s="2427"/>
      <c r="BH584" s="2351" t="s">
        <v>292</v>
      </c>
      <c r="BI584" s="2353"/>
      <c r="BJ584" s="2426" t="s">
        <v>291</v>
      </c>
      <c r="BK584" s="2427"/>
      <c r="BL584" s="2351" t="s">
        <v>291</v>
      </c>
      <c r="BM584" s="2353"/>
      <c r="BN584" s="2426" t="s">
        <v>681</v>
      </c>
      <c r="BO584" s="2427"/>
      <c r="BP584" s="2351" t="s">
        <v>681</v>
      </c>
      <c r="BQ584" s="2353"/>
    </row>
    <row r="585" spans="2:96" s="46" customFormat="1" ht="12.75" customHeight="1">
      <c r="E585" s="2295"/>
      <c r="F585" s="2296"/>
      <c r="G585" s="2296"/>
      <c r="H585" s="2296"/>
      <c r="I585" s="2296"/>
      <c r="J585" s="2297"/>
      <c r="K585" s="2298">
        <v>35</v>
      </c>
      <c r="L585" s="2299"/>
      <c r="M585" s="2299"/>
      <c r="N585" s="2299"/>
      <c r="O585" s="2299"/>
      <c r="P585" s="2300"/>
      <c r="Q585" s="2451">
        <f t="shared" si="7"/>
        <v>0</v>
      </c>
      <c r="R585" s="2452"/>
      <c r="S585" s="2452"/>
      <c r="T585" s="2452"/>
      <c r="U585" s="2452"/>
      <c r="V585" s="2453"/>
      <c r="W585" s="2313">
        <f t="shared" ref="W585:W591" si="8">IF(FLOOR(Q585,5)&gt;80,80,FLOOR(Q585,5))</f>
        <v>0</v>
      </c>
      <c r="X585" s="2314"/>
      <c r="Y585" s="2314"/>
      <c r="Z585" s="2314"/>
      <c r="AA585" s="2314"/>
      <c r="AB585" s="2315"/>
      <c r="AC585" s="2313">
        <f t="shared" si="5"/>
        <v>0</v>
      </c>
      <c r="AD585" s="2314"/>
      <c r="AE585" s="2314"/>
      <c r="AF585" s="2314"/>
      <c r="AG585" s="2314"/>
      <c r="AH585" s="2315"/>
      <c r="AN585" s="439"/>
      <c r="AO585" s="137">
        <v>3</v>
      </c>
      <c r="AP585" s="2298">
        <f t="shared" si="6"/>
        <v>0</v>
      </c>
      <c r="AQ585" s="2299"/>
      <c r="AR585" s="2299"/>
      <c r="AS585" s="2299"/>
      <c r="AT585" s="2300"/>
      <c r="AX585" s="2426">
        <f>IF(AP535=1,1,0)</f>
        <v>0</v>
      </c>
      <c r="AY585" s="2427"/>
      <c r="AZ585" s="2354"/>
      <c r="BA585" s="2355"/>
      <c r="BB585" s="2493"/>
      <c r="BC585" s="2494"/>
      <c r="BD585" s="2351">
        <f>IF(AND(T608&gt;0,AP535&gt;0),1,0)</f>
        <v>0</v>
      </c>
      <c r="BE585" s="2353"/>
      <c r="BF585" s="2493"/>
      <c r="BG585" s="2494"/>
      <c r="BH585" s="2351">
        <f>IF(AND(T608&gt;0,AP535&gt;0),1,0)</f>
        <v>0</v>
      </c>
      <c r="BI585" s="2353"/>
      <c r="BJ585" s="2493"/>
      <c r="BK585" s="2494"/>
      <c r="BL585" s="2351">
        <f>IF(AND(T608&gt;0,AP535&gt;0),1,0)</f>
        <v>0</v>
      </c>
      <c r="BM585" s="2353"/>
      <c r="BN585" s="2493"/>
      <c r="BO585" s="2494"/>
      <c r="BP585" s="2351">
        <f>IF(AND(T608&gt;0,AP535&gt;0),1,0)</f>
        <v>0</v>
      </c>
      <c r="BQ585" s="2353"/>
    </row>
    <row r="586" spans="2:96" s="46" customFormat="1" ht="12.75" customHeight="1">
      <c r="E586" s="2295"/>
      <c r="F586" s="2296"/>
      <c r="G586" s="2296"/>
      <c r="H586" s="2296"/>
      <c r="I586" s="2296"/>
      <c r="J586" s="2297"/>
      <c r="K586" s="2298">
        <v>40</v>
      </c>
      <c r="L586" s="2299"/>
      <c r="M586" s="2299"/>
      <c r="N586" s="2299"/>
      <c r="O586" s="2299"/>
      <c r="P586" s="2300"/>
      <c r="Q586" s="2451">
        <f t="shared" si="7"/>
        <v>0</v>
      </c>
      <c r="R586" s="2452"/>
      <c r="S586" s="2452"/>
      <c r="T586" s="2452"/>
      <c r="U586" s="2452"/>
      <c r="V586" s="2453"/>
      <c r="W586" s="2313">
        <f t="shared" si="8"/>
        <v>0</v>
      </c>
      <c r="X586" s="2314"/>
      <c r="Y586" s="2314"/>
      <c r="Z586" s="2314"/>
      <c r="AA586" s="2314"/>
      <c r="AB586" s="2315"/>
      <c r="AC586" s="2313">
        <f t="shared" si="5"/>
        <v>0</v>
      </c>
      <c r="AD586" s="2314"/>
      <c r="AE586" s="2314"/>
      <c r="AF586" s="2314"/>
      <c r="AG586" s="2314"/>
      <c r="AH586" s="2315"/>
      <c r="AN586" s="439"/>
      <c r="AO586" s="46">
        <v>2</v>
      </c>
      <c r="AP586" s="2495">
        <f t="shared" si="6"/>
        <v>0</v>
      </c>
      <c r="AQ586" s="2496"/>
      <c r="AR586" s="2496"/>
      <c r="AS586" s="2496"/>
      <c r="AT586" s="2497"/>
      <c r="AX586" s="2493"/>
      <c r="AY586" s="2494"/>
      <c r="AZ586" s="2354"/>
      <c r="BA586" s="2355"/>
      <c r="BB586" s="2426">
        <f>IF(AP536=1,1,0)</f>
        <v>0</v>
      </c>
      <c r="BC586" s="2427"/>
      <c r="BD586" s="2354"/>
      <c r="BE586" s="2355"/>
      <c r="BF586" s="2493"/>
      <c r="BG586" s="2494"/>
      <c r="BH586" s="2351">
        <f>IF(AND(T609&gt;0,AP536&gt;0),1,0)</f>
        <v>1</v>
      </c>
      <c r="BI586" s="2353"/>
      <c r="BJ586" s="2493"/>
      <c r="BK586" s="2494"/>
      <c r="BL586" s="2351">
        <f>IF(AND(T609&gt;0,AP536&gt;0),1,0)</f>
        <v>1</v>
      </c>
      <c r="BM586" s="2353"/>
      <c r="BN586" s="2493"/>
      <c r="BO586" s="2494"/>
      <c r="BP586" s="2351">
        <f>IF(AND(T609&gt;0,AP536&gt;0),1,0)</f>
        <v>1</v>
      </c>
      <c r="BQ586" s="2353"/>
    </row>
    <row r="587" spans="2:96" s="46" customFormat="1" ht="12.75" customHeight="1">
      <c r="E587" s="2295"/>
      <c r="F587" s="2296"/>
      <c r="G587" s="2296"/>
      <c r="H587" s="2296"/>
      <c r="I587" s="2296"/>
      <c r="J587" s="2297"/>
      <c r="K587" s="2298">
        <v>45</v>
      </c>
      <c r="L587" s="2299"/>
      <c r="M587" s="2299"/>
      <c r="N587" s="2299"/>
      <c r="O587" s="2299"/>
      <c r="P587" s="2300"/>
      <c r="Q587" s="2451">
        <f t="shared" si="7"/>
        <v>0</v>
      </c>
      <c r="R587" s="2452"/>
      <c r="S587" s="2452"/>
      <c r="T587" s="2452"/>
      <c r="U587" s="2452"/>
      <c r="V587" s="2453"/>
      <c r="W587" s="2313">
        <f>IF(FLOOR(Q587,5)&gt;65,65,FLOOR(Q587,5))</f>
        <v>0</v>
      </c>
      <c r="X587" s="2314"/>
      <c r="Y587" s="2314"/>
      <c r="Z587" s="2314"/>
      <c r="AA587" s="2314"/>
      <c r="AB587" s="2315"/>
      <c r="AC587" s="2313">
        <f t="shared" si="5"/>
        <v>0</v>
      </c>
      <c r="AD587" s="2314"/>
      <c r="AE587" s="2314"/>
      <c r="AF587" s="2314"/>
      <c r="AG587" s="2314"/>
      <c r="AH587" s="2315"/>
      <c r="AN587" s="439"/>
      <c r="AO587" s="46">
        <v>1</v>
      </c>
      <c r="AP587" s="2495">
        <f t="shared" si="6"/>
        <v>0</v>
      </c>
      <c r="AQ587" s="2496"/>
      <c r="AR587" s="2496"/>
      <c r="AS587" s="2496"/>
      <c r="AT587" s="2497"/>
      <c r="AX587" s="2493"/>
      <c r="AY587" s="2494"/>
      <c r="AZ587" s="2354"/>
      <c r="BA587" s="2355"/>
      <c r="BB587" s="2493"/>
      <c r="BC587" s="2494"/>
      <c r="BD587" s="2354"/>
      <c r="BE587" s="2355"/>
      <c r="BF587" s="2426">
        <f>IF(AP537=1,1,0)</f>
        <v>0</v>
      </c>
      <c r="BG587" s="2427"/>
      <c r="BH587" s="2354"/>
      <c r="BI587" s="2355"/>
      <c r="BJ587" s="2493"/>
      <c r="BK587" s="2494"/>
      <c r="BL587" s="2351">
        <f>IF(AND(T610&gt;0,AP537&gt;0),1,0)</f>
        <v>1</v>
      </c>
      <c r="BM587" s="2353"/>
      <c r="BN587" s="2493"/>
      <c r="BO587" s="2494"/>
      <c r="BP587" s="2351">
        <f>IF(AND(T610&gt;0,AP537&gt;0),1,0)</f>
        <v>1</v>
      </c>
      <c r="BQ587" s="2353"/>
    </row>
    <row r="588" spans="2:96" s="46" customFormat="1" ht="12.75" customHeight="1">
      <c r="E588" s="2295">
        <v>12</v>
      </c>
      <c r="F588" s="2296"/>
      <c r="G588" s="2296"/>
      <c r="H588" s="2296"/>
      <c r="I588" s="2296"/>
      <c r="J588" s="2297"/>
      <c r="K588" s="2298">
        <v>50</v>
      </c>
      <c r="L588" s="2299"/>
      <c r="M588" s="2299"/>
      <c r="N588" s="2299"/>
      <c r="O588" s="2299"/>
      <c r="P588" s="2300"/>
      <c r="Q588" s="2451">
        <f t="shared" si="7"/>
        <v>19.35483870967742</v>
      </c>
      <c r="R588" s="2452"/>
      <c r="S588" s="2452"/>
      <c r="T588" s="2452"/>
      <c r="U588" s="2452"/>
      <c r="V588" s="2453"/>
      <c r="W588" s="2313">
        <f>IF(FLOOR(Q588,5)&gt;40,40,FLOOR(Q588,5))</f>
        <v>15</v>
      </c>
      <c r="X588" s="2314"/>
      <c r="Y588" s="2314"/>
      <c r="Z588" s="2314"/>
      <c r="AA588" s="2314"/>
      <c r="AB588" s="2315"/>
      <c r="AC588" s="2313">
        <f t="shared" si="5"/>
        <v>7.5</v>
      </c>
      <c r="AD588" s="2314"/>
      <c r="AE588" s="2314"/>
      <c r="AF588" s="2314"/>
      <c r="AG588" s="2314"/>
      <c r="AH588" s="2315"/>
      <c r="AN588" s="439"/>
      <c r="AO588" s="46">
        <v>0</v>
      </c>
      <c r="AP588" s="2495">
        <f t="shared" si="6"/>
        <v>0</v>
      </c>
      <c r="AQ588" s="2496"/>
      <c r="AR588" s="2496"/>
      <c r="AS588" s="2496"/>
      <c r="AT588" s="2497"/>
      <c r="AX588" s="2493"/>
      <c r="AY588" s="2494"/>
      <c r="AZ588" s="2354"/>
      <c r="BA588" s="2355"/>
      <c r="BB588" s="2493"/>
      <c r="BC588" s="2494"/>
      <c r="BD588" s="2354"/>
      <c r="BE588" s="2355"/>
      <c r="BF588" s="2493"/>
      <c r="BG588" s="2494"/>
      <c r="BH588" s="2354"/>
      <c r="BI588" s="2355"/>
      <c r="BJ588" s="2426">
        <f>IF(AP538=1,1,0)</f>
        <v>1</v>
      </c>
      <c r="BK588" s="2427"/>
      <c r="BL588" s="2493"/>
      <c r="BM588" s="2494"/>
      <c r="BN588" s="2493"/>
      <c r="BO588" s="2494"/>
      <c r="BP588" s="2351">
        <f>IF(AND(T611&gt;0,AP538&gt;0),1,0)</f>
        <v>1</v>
      </c>
      <c r="BQ588" s="2353"/>
    </row>
    <row r="589" spans="2:96" s="46" customFormat="1" ht="12.75" customHeight="1">
      <c r="E589" s="2467"/>
      <c r="F589" s="2468"/>
      <c r="G589" s="2468"/>
      <c r="H589" s="2468"/>
      <c r="I589" s="2468"/>
      <c r="J589" s="2469"/>
      <c r="K589" s="2540">
        <f>IF(OR(Application!D211="Rural",Application!D211="Rural apportionment (Section 514)",Application!D211="Rural apportionment (Section 515)",Application!D211="Rural apportionment (HOME)",Application!D211="Rural (Native American apportionment)"),50,0)</f>
        <v>0</v>
      </c>
      <c r="L589" s="2541"/>
      <c r="M589" s="2542" t="s">
        <v>2099</v>
      </c>
      <c r="N589" s="2542"/>
      <c r="O589" s="2542"/>
      <c r="P589" s="2543"/>
      <c r="Q589" s="2451">
        <f t="shared" si="7"/>
        <v>0</v>
      </c>
      <c r="R589" s="2452"/>
      <c r="S589" s="2452"/>
      <c r="T589" s="2452"/>
      <c r="U589" s="2452"/>
      <c r="V589" s="2453"/>
      <c r="W589" s="2313">
        <f>IF(FLOOR(Q589,5)&gt;50,50,FLOOR(Q589,5))</f>
        <v>0</v>
      </c>
      <c r="X589" s="2314"/>
      <c r="Y589" s="2314"/>
      <c r="Z589" s="2314"/>
      <c r="AA589" s="2314"/>
      <c r="AB589" s="2315"/>
      <c r="AC589" s="2313">
        <f>IF(W589&gt;0,INDEX($AT$509:$BA$523,MATCH(W589,$AS$509:$AS$523,0),MATCH(K589,$AT$508:$BA$508,0)),0)</f>
        <v>0</v>
      </c>
      <c r="AD589" s="2314"/>
      <c r="AE589" s="2314"/>
      <c r="AF589" s="2314"/>
      <c r="AG589" s="2314"/>
      <c r="AH589" s="2315"/>
      <c r="AN589" s="439"/>
      <c r="AP589" s="2495"/>
      <c r="AQ589" s="2496"/>
      <c r="AR589" s="2496"/>
      <c r="AS589" s="2496"/>
      <c r="AT589" s="2497"/>
      <c r="AX589" s="2493"/>
      <c r="AY589" s="2494"/>
      <c r="AZ589" s="2354"/>
      <c r="BA589" s="2355"/>
      <c r="BB589" s="2493"/>
      <c r="BC589" s="2494"/>
      <c r="BD589" s="2354"/>
      <c r="BE589" s="2355"/>
      <c r="BF589" s="2493"/>
      <c r="BG589" s="2494"/>
      <c r="BH589" s="2354"/>
      <c r="BI589" s="2355"/>
      <c r="BJ589" s="2493"/>
      <c r="BK589" s="2494"/>
      <c r="BL589" s="2493"/>
      <c r="BM589" s="2494"/>
      <c r="BN589" s="2426">
        <f>IF(AP539=1,1,0)</f>
        <v>0</v>
      </c>
      <c r="BO589" s="2427"/>
      <c r="BP589" s="2354"/>
      <c r="BQ589" s="2355"/>
    </row>
    <row r="590" spans="2:96" s="46" customFormat="1" ht="12.75" customHeight="1">
      <c r="E590" s="2467"/>
      <c r="F590" s="2468"/>
      <c r="G590" s="2468"/>
      <c r="H590" s="2468"/>
      <c r="I590" s="2468"/>
      <c r="J590" s="2469"/>
      <c r="K590" s="2540">
        <f>IF(OR(Application!D211="Rural",Application!D211="Rural apportionment (Section 514)",Application!D211="Rural apportionment (Section 515)",Application!D211="Rural apportionment (HOME)",Application!D211="Rural (Native American apportionment)"),55,0)</f>
        <v>0</v>
      </c>
      <c r="L590" s="2541"/>
      <c r="M590" s="2542" t="s">
        <v>2099</v>
      </c>
      <c r="N590" s="2542"/>
      <c r="O590" s="2542"/>
      <c r="P590" s="2543"/>
      <c r="Q590" s="2451">
        <f t="shared" si="7"/>
        <v>0</v>
      </c>
      <c r="R590" s="2452"/>
      <c r="S590" s="2452"/>
      <c r="T590" s="2452"/>
      <c r="U590" s="2452"/>
      <c r="V590" s="2453"/>
      <c r="W590" s="2313">
        <f>IF(FLOOR(Q590,5)&gt;40,40,FLOOR(Q590,5))</f>
        <v>0</v>
      </c>
      <c r="X590" s="2314"/>
      <c r="Y590" s="2314"/>
      <c r="Z590" s="2314"/>
      <c r="AA590" s="2314"/>
      <c r="AB590" s="2315"/>
      <c r="AC590" s="2313">
        <f>IF(W590&gt;0,INDEX($AT$509:$BA$523,MATCH(W590,$AS$509:$AS$523,0),MATCH(K590,$AT$508:$BA$508,0)),0)</f>
        <v>0</v>
      </c>
      <c r="AD590" s="2314"/>
      <c r="AE590" s="2314"/>
      <c r="AF590" s="2314"/>
      <c r="AG590" s="2314"/>
      <c r="AH590" s="2315"/>
      <c r="AN590" s="439"/>
      <c r="AX590" s="2426">
        <f>SUM(AX585:AY589)</f>
        <v>0</v>
      </c>
      <c r="AY590" s="2427"/>
      <c r="AZ590" s="2351">
        <f>SUM(AZ586:BA589)</f>
        <v>0</v>
      </c>
      <c r="BA590" s="2353"/>
      <c r="BB590" s="2426">
        <f>SUM(BB586:BC589)</f>
        <v>0</v>
      </c>
      <c r="BC590" s="2427"/>
      <c r="BD590" s="2351">
        <f>SUM(BD585:BE589)</f>
        <v>0</v>
      </c>
      <c r="BE590" s="2353"/>
      <c r="BF590" s="2426">
        <f>SUM(BF587:BG589)</f>
        <v>0</v>
      </c>
      <c r="BG590" s="2427"/>
      <c r="BH590" s="2351">
        <f>SUM(BH585:BI589)</f>
        <v>1</v>
      </c>
      <c r="BI590" s="2353"/>
      <c r="BJ590" s="2426">
        <f>SUM(BJ585:BK589)</f>
        <v>1</v>
      </c>
      <c r="BK590" s="2427"/>
      <c r="BL590" s="2351">
        <f>SUM(BL585:BM589)</f>
        <v>2</v>
      </c>
      <c r="BM590" s="2353"/>
      <c r="BN590" s="2426">
        <f>SUM(BN585:BO589)</f>
        <v>0</v>
      </c>
      <c r="BO590" s="2427"/>
      <c r="BP590" s="2351">
        <f>SUM(BP585:BQ589)</f>
        <v>3</v>
      </c>
      <c r="BQ590" s="2353"/>
    </row>
    <row r="591" spans="2:96" s="46" customFormat="1" ht="12.75" customHeight="1">
      <c r="E591" s="2295">
        <v>31</v>
      </c>
      <c r="F591" s="2296"/>
      <c r="G591" s="2296"/>
      <c r="H591" s="2296"/>
      <c r="I591" s="2296"/>
      <c r="J591" s="2297"/>
      <c r="K591" s="2298" t="s">
        <v>2100</v>
      </c>
      <c r="L591" s="2299"/>
      <c r="M591" s="2299"/>
      <c r="N591" s="2299"/>
      <c r="O591" s="2299"/>
      <c r="P591" s="2300"/>
      <c r="Q591" s="2451">
        <f t="shared" si="7"/>
        <v>50</v>
      </c>
      <c r="R591" s="2452"/>
      <c r="S591" s="2452"/>
      <c r="T591" s="2452"/>
      <c r="U591" s="2452"/>
      <c r="V591" s="2453"/>
      <c r="W591" s="2313">
        <f t="shared" si="8"/>
        <v>50</v>
      </c>
      <c r="X591" s="2314"/>
      <c r="Y591" s="2314"/>
      <c r="Z591" s="2314"/>
      <c r="AA591" s="2314"/>
      <c r="AB591" s="2315"/>
      <c r="AC591" s="2313">
        <v>0</v>
      </c>
      <c r="AD591" s="2314"/>
      <c r="AE591" s="2314"/>
      <c r="AF591" s="2314"/>
      <c r="AG591" s="2314"/>
      <c r="AH591" s="2315"/>
      <c r="AN591" s="439"/>
      <c r="AX591" s="2443">
        <f>IF(AND(AX590=1,AZ590&gt;1),1,0)</f>
        <v>0</v>
      </c>
      <c r="AY591" s="2444"/>
      <c r="AZ591" s="2444"/>
      <c r="BA591" s="2445"/>
      <c r="BB591" s="2443">
        <f>IF(AND(BB590=1,BD590&gt;=1),1,0)</f>
        <v>0</v>
      </c>
      <c r="BC591" s="2444"/>
      <c r="BD591" s="2444"/>
      <c r="BE591" s="2445"/>
      <c r="BF591" s="2443">
        <f>IF(AND(BF590=1,BH590&gt;=1),1,0)</f>
        <v>0</v>
      </c>
      <c r="BG591" s="2444"/>
      <c r="BH591" s="2444"/>
      <c r="BI591" s="2445"/>
      <c r="BJ591" s="2443">
        <f>IF(AND(BJ590=1,BL590&gt;=1),1,0)</f>
        <v>1</v>
      </c>
      <c r="BK591" s="2444"/>
      <c r="BL591" s="2444"/>
      <c r="BM591" s="2445"/>
      <c r="BN591" s="2443">
        <f>IF(AND(BN590=1,BP590&gt;=1),1,0)</f>
        <v>0</v>
      </c>
      <c r="BO591" s="2444"/>
      <c r="BP591" s="2444"/>
      <c r="BQ591" s="2445"/>
    </row>
    <row r="592" spans="2:96" s="46" customFormat="1" ht="12.75" customHeight="1">
      <c r="E592" s="2458">
        <f>SUM(E583:J591)</f>
        <v>62</v>
      </c>
      <c r="F592" s="2459"/>
      <c r="G592" s="2459"/>
      <c r="H592" s="2459"/>
      <c r="I592" s="2459"/>
      <c r="J592" s="2460"/>
      <c r="K592" s="260"/>
      <c r="L592" s="260"/>
      <c r="M592" s="260"/>
      <c r="N592" s="260"/>
      <c r="O592" s="260"/>
      <c r="P592" s="260"/>
      <c r="Q592" s="260"/>
      <c r="R592" s="260"/>
      <c r="S592" s="260"/>
      <c r="T592" s="260"/>
      <c r="U592" s="254"/>
      <c r="V592" s="254"/>
      <c r="W592" s="254"/>
      <c r="X592" s="254"/>
      <c r="Y592" s="254"/>
      <c r="Z592" s="260"/>
      <c r="AA592" s="254"/>
      <c r="AB592" s="100" t="s">
        <v>671</v>
      </c>
      <c r="AC592" s="2461">
        <f>IF(SUM(AC583:AH591)&gt;0,SUM(AC583:AH591),0)</f>
        <v>52.5</v>
      </c>
      <c r="AD592" s="2462"/>
      <c r="AE592" s="2462"/>
      <c r="AF592" s="2462"/>
      <c r="AG592" s="2462"/>
      <c r="AH592" s="2463"/>
      <c r="AK592" s="8"/>
      <c r="AL592" s="8"/>
      <c r="AM592" s="261"/>
      <c r="AN592" s="439"/>
      <c r="AX592" s="16"/>
      <c r="AY592" s="16"/>
      <c r="AZ592" s="16"/>
      <c r="BA592" s="16"/>
      <c r="BB592" s="16"/>
      <c r="BC592" s="16"/>
      <c r="BD592" s="16"/>
      <c r="BE592" s="16"/>
      <c r="BF592" s="16"/>
      <c r="BG592" s="16"/>
      <c r="BH592" s="16"/>
      <c r="BI592" s="240" t="s">
        <v>676</v>
      </c>
      <c r="BJ592" s="2443">
        <f>AX591+BB591+BF591+BJ591+BN591</f>
        <v>1</v>
      </c>
      <c r="BK592" s="2444"/>
      <c r="BL592" s="2444"/>
      <c r="BM592" s="244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64" t="s">
        <v>114</v>
      </c>
      <c r="AH595" s="2364"/>
      <c r="AI595" s="2364"/>
      <c r="AJ595" s="2364"/>
      <c r="AK595" s="8"/>
      <c r="AL595" s="8"/>
      <c r="AM595" s="8"/>
      <c r="AN595" s="439"/>
    </row>
    <row r="596" spans="1:69" s="46" customFormat="1" ht="12.75" customHeight="1">
      <c r="B596" s="2329" t="s">
        <v>2076</v>
      </c>
      <c r="C596" s="2329"/>
      <c r="D596" s="2329"/>
      <c r="E596" s="2329"/>
      <c r="F596" s="2329"/>
      <c r="G596" s="2329"/>
      <c r="H596" s="2329"/>
      <c r="I596" s="2329"/>
      <c r="J596" s="2329"/>
      <c r="K596" s="2329"/>
      <c r="L596" s="2329"/>
      <c r="M596" s="2329"/>
      <c r="N596" s="2329"/>
      <c r="O596" s="2329"/>
      <c r="P596" s="2329"/>
      <c r="Q596" s="2329"/>
      <c r="R596" s="2329"/>
      <c r="S596" s="2329"/>
      <c r="T596" s="2329"/>
      <c r="U596" s="2329"/>
      <c r="V596" s="2329"/>
      <c r="W596" s="2329"/>
      <c r="X596" s="2329"/>
      <c r="Y596" s="2329"/>
      <c r="Z596" s="2329"/>
      <c r="AA596" s="2329"/>
      <c r="AB596" s="2329"/>
      <c r="AC596" s="2329"/>
      <c r="AD596" s="2329"/>
      <c r="AE596" s="2329"/>
      <c r="AF596" s="2329"/>
      <c r="AG596" s="2329"/>
      <c r="AH596" s="2329"/>
      <c r="AI596" s="65"/>
      <c r="AJ596" s="65"/>
      <c r="AK596" s="16"/>
      <c r="AL596" s="16"/>
      <c r="AM596" s="16"/>
      <c r="AN596" s="439"/>
    </row>
    <row r="597" spans="1:69" s="46" customFormat="1" ht="12.75" customHeight="1">
      <c r="A597" s="65"/>
      <c r="B597" s="2329"/>
      <c r="C597" s="2329"/>
      <c r="D597" s="2329"/>
      <c r="E597" s="2329"/>
      <c r="F597" s="2329"/>
      <c r="G597" s="2329"/>
      <c r="H597" s="2329"/>
      <c r="I597" s="2329"/>
      <c r="J597" s="2329"/>
      <c r="K597" s="2329"/>
      <c r="L597" s="2329"/>
      <c r="M597" s="2329"/>
      <c r="N597" s="2329"/>
      <c r="O597" s="2329"/>
      <c r="P597" s="2329"/>
      <c r="Q597" s="2329"/>
      <c r="R597" s="2329"/>
      <c r="S597" s="2329"/>
      <c r="T597" s="2329"/>
      <c r="U597" s="2329"/>
      <c r="V597" s="2329"/>
      <c r="W597" s="2329"/>
      <c r="X597" s="2329"/>
      <c r="Y597" s="2329"/>
      <c r="Z597" s="2329"/>
      <c r="AA597" s="2329"/>
      <c r="AB597" s="2329"/>
      <c r="AC597" s="2329"/>
      <c r="AD597" s="2329"/>
      <c r="AE597" s="2329"/>
      <c r="AF597" s="2329"/>
      <c r="AG597" s="2329"/>
      <c r="AH597" s="2329"/>
      <c r="AI597" s="65"/>
      <c r="AJ597" s="65"/>
      <c r="AK597" s="16"/>
      <c r="AL597" s="16"/>
      <c r="AM597" s="16"/>
      <c r="AN597" s="439"/>
    </row>
    <row r="598" spans="1:69" s="46" customFormat="1" ht="12.75" customHeight="1">
      <c r="A598" s="65"/>
      <c r="B598" s="2329"/>
      <c r="C598" s="2329"/>
      <c r="D598" s="2329"/>
      <c r="E598" s="2329"/>
      <c r="F598" s="2329"/>
      <c r="G598" s="2329"/>
      <c r="H598" s="2329"/>
      <c r="I598" s="2329"/>
      <c r="J598" s="2329"/>
      <c r="K598" s="2329"/>
      <c r="L598" s="2329"/>
      <c r="M598" s="2329"/>
      <c r="N598" s="2329"/>
      <c r="O598" s="2329"/>
      <c r="P598" s="2329"/>
      <c r="Q598" s="2329"/>
      <c r="R598" s="2329"/>
      <c r="S598" s="2329"/>
      <c r="T598" s="2329"/>
      <c r="U598" s="2329"/>
      <c r="V598" s="2329"/>
      <c r="W598" s="2329"/>
      <c r="X598" s="2329"/>
      <c r="Y598" s="2329"/>
      <c r="Z598" s="2329"/>
      <c r="AA598" s="2329"/>
      <c r="AB598" s="2329"/>
      <c r="AC598" s="2329"/>
      <c r="AD598" s="2329"/>
      <c r="AE598" s="2329"/>
      <c r="AF598" s="2329"/>
      <c r="AG598" s="2329"/>
      <c r="AH598" s="2329"/>
      <c r="AI598" s="65"/>
      <c r="AJ598" s="65"/>
      <c r="AK598" s="16"/>
      <c r="AL598" s="16"/>
      <c r="AM598" s="16"/>
      <c r="AN598" s="439"/>
    </row>
    <row r="599" spans="1:69" s="46" customFormat="1" ht="12.75" customHeight="1">
      <c r="A599" s="65"/>
      <c r="B599" s="2329"/>
      <c r="C599" s="2329"/>
      <c r="D599" s="2329"/>
      <c r="E599" s="2329"/>
      <c r="F599" s="2329"/>
      <c r="G599" s="2329"/>
      <c r="H599" s="2329"/>
      <c r="I599" s="2329"/>
      <c r="J599" s="2329"/>
      <c r="K599" s="2329"/>
      <c r="L599" s="2329"/>
      <c r="M599" s="2329"/>
      <c r="N599" s="2329"/>
      <c r="O599" s="2329"/>
      <c r="P599" s="2329"/>
      <c r="Q599" s="2329"/>
      <c r="R599" s="2329"/>
      <c r="S599" s="2329"/>
      <c r="T599" s="2329"/>
      <c r="U599" s="2329"/>
      <c r="V599" s="2329"/>
      <c r="W599" s="2329"/>
      <c r="X599" s="2329"/>
      <c r="Y599" s="2329"/>
      <c r="Z599" s="2329"/>
      <c r="AA599" s="2329"/>
      <c r="AB599" s="2329"/>
      <c r="AC599" s="2329"/>
      <c r="AD599" s="2329"/>
      <c r="AE599" s="2329"/>
      <c r="AF599" s="2329"/>
      <c r="AG599" s="2329"/>
      <c r="AH599" s="2329"/>
      <c r="AI599" s="65"/>
      <c r="AJ599" s="65"/>
      <c r="AK599" s="16"/>
      <c r="AL599" s="16"/>
      <c r="AM599" s="16"/>
      <c r="AN599" s="439"/>
    </row>
    <row r="600" spans="1:69" s="46" customFormat="1" ht="12.75" customHeight="1">
      <c r="A600" s="65"/>
      <c r="B600" s="2329"/>
      <c r="C600" s="2329"/>
      <c r="D600" s="2329"/>
      <c r="E600" s="2329"/>
      <c r="F600" s="2329"/>
      <c r="G600" s="2329"/>
      <c r="H600" s="2329"/>
      <c r="I600" s="2329"/>
      <c r="J600" s="2329"/>
      <c r="K600" s="2329"/>
      <c r="L600" s="2329"/>
      <c r="M600" s="2329"/>
      <c r="N600" s="2329"/>
      <c r="O600" s="2329"/>
      <c r="P600" s="2329"/>
      <c r="Q600" s="2329"/>
      <c r="R600" s="2329"/>
      <c r="S600" s="2329"/>
      <c r="T600" s="2329"/>
      <c r="U600" s="2329"/>
      <c r="V600" s="2329"/>
      <c r="W600" s="2329"/>
      <c r="X600" s="2329"/>
      <c r="Y600" s="2329"/>
      <c r="Z600" s="2329"/>
      <c r="AA600" s="2329"/>
      <c r="AB600" s="2329"/>
      <c r="AC600" s="2329"/>
      <c r="AD600" s="2329"/>
      <c r="AE600" s="2329"/>
      <c r="AF600" s="2329"/>
      <c r="AG600" s="2329"/>
      <c r="AH600" s="2329"/>
      <c r="AI600" s="65"/>
      <c r="AJ600" s="65"/>
      <c r="AK600" s="16"/>
      <c r="AL600" s="16"/>
      <c r="AM600" s="16"/>
      <c r="AN600" s="439"/>
    </row>
    <row r="601" spans="1:69" s="46" customFormat="1" ht="12.75" customHeight="1">
      <c r="A601" s="65"/>
      <c r="B601" s="2329"/>
      <c r="C601" s="2329"/>
      <c r="D601" s="2329"/>
      <c r="E601" s="2329"/>
      <c r="F601" s="2329"/>
      <c r="G601" s="2329"/>
      <c r="H601" s="2329"/>
      <c r="I601" s="2329"/>
      <c r="J601" s="2329"/>
      <c r="K601" s="2329"/>
      <c r="L601" s="2329"/>
      <c r="M601" s="2329"/>
      <c r="N601" s="2329"/>
      <c r="O601" s="2329"/>
      <c r="P601" s="2329"/>
      <c r="Q601" s="2329"/>
      <c r="R601" s="2329"/>
      <c r="S601" s="2329"/>
      <c r="T601" s="2329"/>
      <c r="U601" s="2329"/>
      <c r="V601" s="2329"/>
      <c r="W601" s="2329"/>
      <c r="X601" s="2329"/>
      <c r="Y601" s="2329"/>
      <c r="Z601" s="2329"/>
      <c r="AA601" s="2329"/>
      <c r="AB601" s="2329"/>
      <c r="AC601" s="2329"/>
      <c r="AD601" s="2329"/>
      <c r="AE601" s="2329"/>
      <c r="AF601" s="2329"/>
      <c r="AG601" s="2329"/>
      <c r="AH601" s="2329"/>
      <c r="AI601" s="65"/>
      <c r="AJ601" s="65"/>
      <c r="AK601" s="65"/>
      <c r="AL601" s="65"/>
      <c r="AM601" s="65"/>
      <c r="AN601" s="1131"/>
    </row>
    <row r="602" spans="1:69">
      <c r="E602" s="245"/>
      <c r="BD602" s="65"/>
      <c r="BE602" s="65"/>
      <c r="BF602" s="65"/>
      <c r="BG602" s="65"/>
      <c r="BH602" s="65"/>
    </row>
    <row r="603" spans="1:69" ht="12.75" customHeight="1">
      <c r="J603" s="2454" t="s">
        <v>871</v>
      </c>
      <c r="K603" s="2455"/>
      <c r="L603" s="2455"/>
      <c r="M603" s="2455"/>
      <c r="N603" s="2456"/>
      <c r="O603" s="2307" t="s">
        <v>1687</v>
      </c>
      <c r="P603" s="2308"/>
      <c r="Q603" s="2308"/>
      <c r="R603" s="2308"/>
      <c r="S603" s="2309"/>
      <c r="T603" s="2307" t="s">
        <v>2003</v>
      </c>
      <c r="U603" s="2308"/>
      <c r="V603" s="2308"/>
      <c r="W603" s="2308"/>
      <c r="X603" s="2309"/>
      <c r="Y603" s="2307" t="s">
        <v>1688</v>
      </c>
      <c r="Z603" s="2308"/>
      <c r="AA603" s="2308"/>
      <c r="AB603" s="2308"/>
      <c r="AC603" s="2309"/>
      <c r="AF603" s="16"/>
      <c r="AG603" s="16"/>
      <c r="AH603" s="16"/>
      <c r="AI603" s="16"/>
      <c r="AJ603" s="16"/>
    </row>
    <row r="604" spans="1:69" ht="12.75" customHeight="1">
      <c r="D604" s="16"/>
      <c r="E604" s="16"/>
      <c r="F604" s="16"/>
      <c r="G604" s="16"/>
      <c r="H604" s="16"/>
      <c r="I604" s="16"/>
      <c r="J604" s="2344"/>
      <c r="K604" s="2345"/>
      <c r="L604" s="2345"/>
      <c r="M604" s="2345"/>
      <c r="N604" s="2457"/>
      <c r="O604" s="2310"/>
      <c r="P604" s="2311"/>
      <c r="Q604" s="2311"/>
      <c r="R604" s="2311"/>
      <c r="S604" s="2312"/>
      <c r="T604" s="2310"/>
      <c r="U604" s="2311"/>
      <c r="V604" s="2311"/>
      <c r="W604" s="2311"/>
      <c r="X604" s="2312"/>
      <c r="Y604" s="2310"/>
      <c r="Z604" s="2311"/>
      <c r="AA604" s="2311"/>
      <c r="AB604" s="2311"/>
      <c r="AC604" s="2312"/>
      <c r="AF604" s="16"/>
      <c r="AG604" s="16"/>
      <c r="AH604" s="16"/>
      <c r="AI604" s="16"/>
      <c r="AJ604" s="16"/>
    </row>
    <row r="605" spans="1:69">
      <c r="I605" s="16"/>
      <c r="J605" s="2344"/>
      <c r="K605" s="2345"/>
      <c r="L605" s="2345"/>
      <c r="M605" s="2345"/>
      <c r="N605" s="2457"/>
      <c r="O605" s="2310"/>
      <c r="P605" s="2311"/>
      <c r="Q605" s="2311"/>
      <c r="R605" s="2311"/>
      <c r="S605" s="2312"/>
      <c r="T605" s="2310"/>
      <c r="U605" s="2311"/>
      <c r="V605" s="2311"/>
      <c r="W605" s="2311"/>
      <c r="X605" s="2312"/>
      <c r="Y605" s="2310"/>
      <c r="Z605" s="2311"/>
      <c r="AA605" s="2311"/>
      <c r="AB605" s="2311"/>
      <c r="AC605" s="2312"/>
      <c r="AD605" s="42"/>
      <c r="AF605" s="16"/>
      <c r="AG605" s="16"/>
      <c r="AH605" s="16"/>
      <c r="AI605" s="16"/>
      <c r="AJ605" s="16"/>
    </row>
    <row r="606" spans="1:69">
      <c r="D606" s="16"/>
      <c r="E606" s="16"/>
      <c r="F606" s="16"/>
      <c r="G606" s="16"/>
      <c r="H606" s="16"/>
      <c r="I606" s="16"/>
      <c r="J606" s="2344"/>
      <c r="K606" s="2345"/>
      <c r="L606" s="2345"/>
      <c r="M606" s="2345"/>
      <c r="N606" s="2457"/>
      <c r="O606" s="2310"/>
      <c r="P606" s="2311"/>
      <c r="Q606" s="2311"/>
      <c r="R606" s="2311"/>
      <c r="S606" s="2312"/>
      <c r="T606" s="2310"/>
      <c r="U606" s="2311"/>
      <c r="V606" s="2311"/>
      <c r="W606" s="2311"/>
      <c r="X606" s="2312"/>
      <c r="Y606" s="2310"/>
      <c r="Z606" s="2311"/>
      <c r="AA606" s="2311"/>
      <c r="AB606" s="2311"/>
      <c r="AC606" s="2312"/>
      <c r="AD606" s="42"/>
      <c r="AF606" s="16"/>
      <c r="AG606" s="16"/>
      <c r="AH606" s="16"/>
      <c r="AI606" s="16"/>
      <c r="AJ606" s="16"/>
    </row>
    <row r="607" spans="1:69">
      <c r="D607" s="16"/>
      <c r="E607" s="16"/>
      <c r="F607" s="16"/>
      <c r="G607" s="16"/>
      <c r="H607" s="16"/>
      <c r="I607" s="16"/>
      <c r="J607" s="2397" t="s">
        <v>251</v>
      </c>
      <c r="K607" s="2398"/>
      <c r="L607" s="2398"/>
      <c r="M607" s="2398"/>
      <c r="N607" s="2399"/>
      <c r="O607" s="2298">
        <f>Application!CM625</f>
        <v>0</v>
      </c>
      <c r="P607" s="2299"/>
      <c r="Q607" s="2299"/>
      <c r="R607" s="2299"/>
      <c r="S607" s="2300"/>
      <c r="T607" s="2298">
        <f>Application!DR626</f>
        <v>0</v>
      </c>
      <c r="U607" s="2299"/>
      <c r="V607" s="2299"/>
      <c r="W607" s="2299"/>
      <c r="X607" s="2300"/>
      <c r="Y607" s="2385">
        <f t="shared" ref="Y607:Y612" si="9">IF(T607&gt;0,T607/O607,0)</f>
        <v>0</v>
      </c>
      <c r="Z607" s="2386"/>
      <c r="AA607" s="2386"/>
      <c r="AB607" s="2386"/>
      <c r="AC607" s="2387"/>
      <c r="AD607" s="42"/>
      <c r="AF607" s="16"/>
      <c r="AG607" s="16"/>
      <c r="AH607" s="16"/>
      <c r="AI607" s="16"/>
      <c r="AJ607" s="16"/>
    </row>
    <row r="608" spans="1:69">
      <c r="D608" s="16"/>
      <c r="E608" s="16"/>
      <c r="F608" s="16"/>
      <c r="G608" s="16"/>
      <c r="H608" s="16"/>
      <c r="I608" s="16"/>
      <c r="J608" s="2397" t="s">
        <v>36</v>
      </c>
      <c r="K608" s="2398"/>
      <c r="L608" s="2398"/>
      <c r="M608" s="2398"/>
      <c r="N608" s="2399"/>
      <c r="O608" s="2298">
        <f>Application!CH625</f>
        <v>0</v>
      </c>
      <c r="P608" s="2299"/>
      <c r="Q608" s="2299"/>
      <c r="R608" s="2299"/>
      <c r="S608" s="2300"/>
      <c r="T608" s="2298">
        <f>Application!DM626</f>
        <v>0</v>
      </c>
      <c r="U608" s="2299"/>
      <c r="V608" s="2299"/>
      <c r="W608" s="2299"/>
      <c r="X608" s="2300"/>
      <c r="Y608" s="2385">
        <f t="shared" si="9"/>
        <v>0</v>
      </c>
      <c r="Z608" s="2386"/>
      <c r="AA608" s="2386"/>
      <c r="AB608" s="2386"/>
      <c r="AC608" s="2387"/>
      <c r="AD608" s="42"/>
      <c r="AF608" s="16"/>
      <c r="AG608" s="16"/>
      <c r="AH608" s="16"/>
      <c r="AI608" s="16"/>
      <c r="AJ608" s="16"/>
    </row>
    <row r="609" spans="1:60">
      <c r="D609" s="16"/>
      <c r="E609" s="16"/>
      <c r="F609" s="16"/>
      <c r="G609" s="16"/>
      <c r="H609" s="16"/>
      <c r="I609" s="16"/>
      <c r="J609" s="2397" t="s">
        <v>293</v>
      </c>
      <c r="K609" s="2398"/>
      <c r="L609" s="2398"/>
      <c r="M609" s="2398"/>
      <c r="N609" s="2399"/>
      <c r="O609" s="2298">
        <f>Application!CC625</f>
        <v>19</v>
      </c>
      <c r="P609" s="2299"/>
      <c r="Q609" s="2299"/>
      <c r="R609" s="2299"/>
      <c r="S609" s="2300"/>
      <c r="T609" s="2298">
        <f>Application!DH626</f>
        <v>3</v>
      </c>
      <c r="U609" s="2299"/>
      <c r="V609" s="2299"/>
      <c r="W609" s="2299"/>
      <c r="X609" s="2300"/>
      <c r="Y609" s="2385">
        <f t="shared" si="9"/>
        <v>0.15789473684210525</v>
      </c>
      <c r="Z609" s="2386"/>
      <c r="AA609" s="2386"/>
      <c r="AB609" s="2386"/>
      <c r="AC609" s="2387"/>
      <c r="AD609" s="16"/>
      <c r="AF609" s="16"/>
      <c r="AG609" s="16"/>
      <c r="AH609" s="16"/>
      <c r="AI609" s="16"/>
      <c r="AJ609" s="16"/>
      <c r="AN609" s="1147"/>
    </row>
    <row r="610" spans="1:60">
      <c r="D610" s="16"/>
      <c r="E610" s="16"/>
      <c r="F610" s="16"/>
      <c r="G610" s="16"/>
      <c r="H610" s="16"/>
      <c r="I610" s="16"/>
      <c r="J610" s="2397" t="s">
        <v>292</v>
      </c>
      <c r="K610" s="2398"/>
      <c r="L610" s="2398"/>
      <c r="M610" s="2398"/>
      <c r="N610" s="2399"/>
      <c r="O610" s="2298">
        <f>Application!BX625</f>
        <v>16</v>
      </c>
      <c r="P610" s="2299"/>
      <c r="Q610" s="2299"/>
      <c r="R610" s="2299"/>
      <c r="S610" s="2300"/>
      <c r="T610" s="2298">
        <f>Application!DC626</f>
        <v>3</v>
      </c>
      <c r="U610" s="2299"/>
      <c r="V610" s="2299"/>
      <c r="W610" s="2299"/>
      <c r="X610" s="2300"/>
      <c r="Y610" s="2385">
        <f t="shared" si="9"/>
        <v>0.1875</v>
      </c>
      <c r="Z610" s="2386"/>
      <c r="AA610" s="2386"/>
      <c r="AB610" s="2386"/>
      <c r="AC610" s="2387"/>
      <c r="AD610" s="16"/>
      <c r="AF610" s="16"/>
      <c r="AG610" s="16"/>
      <c r="AH610" s="16"/>
      <c r="AI610" s="16"/>
      <c r="AJ610" s="16"/>
      <c r="AN610" s="1147"/>
      <c r="AO610" s="46"/>
      <c r="AP610" s="30"/>
      <c r="AQ610" s="30"/>
      <c r="AR610" s="30"/>
      <c r="AS610" s="30"/>
      <c r="AT610" s="30"/>
    </row>
    <row r="611" spans="1:60">
      <c r="D611" s="16"/>
      <c r="E611" s="16"/>
      <c r="F611" s="16"/>
      <c r="G611" s="16"/>
      <c r="H611" s="16"/>
      <c r="I611" s="16"/>
      <c r="J611" s="2397" t="s">
        <v>291</v>
      </c>
      <c r="K611" s="2398"/>
      <c r="L611" s="2398"/>
      <c r="M611" s="2398"/>
      <c r="N611" s="2399"/>
      <c r="O611" s="2298">
        <f>Application!BS625</f>
        <v>27</v>
      </c>
      <c r="P611" s="2299"/>
      <c r="Q611" s="2299"/>
      <c r="R611" s="2299"/>
      <c r="S611" s="2300"/>
      <c r="T611" s="2298">
        <f>Application!CX626</f>
        <v>13</v>
      </c>
      <c r="U611" s="2299"/>
      <c r="V611" s="2299"/>
      <c r="W611" s="2299"/>
      <c r="X611" s="2300"/>
      <c r="Y611" s="2385">
        <f t="shared" si="9"/>
        <v>0.48148148148148145</v>
      </c>
      <c r="Z611" s="2386"/>
      <c r="AA611" s="2386"/>
      <c r="AB611" s="2386"/>
      <c r="AC611" s="2387"/>
      <c r="AD611" s="16"/>
      <c r="AF611" s="16"/>
      <c r="AG611" s="16"/>
      <c r="AH611" s="16"/>
      <c r="AI611" s="16"/>
      <c r="AJ611" s="16"/>
      <c r="AN611" s="1147"/>
      <c r="AQ611" s="30"/>
      <c r="AR611" s="30"/>
      <c r="AS611" s="30"/>
      <c r="AT611" s="30"/>
    </row>
    <row r="612" spans="1:60">
      <c r="D612" s="16"/>
      <c r="E612" s="16"/>
      <c r="F612" s="16"/>
      <c r="G612" s="16"/>
      <c r="H612" s="16"/>
      <c r="I612" s="16"/>
      <c r="J612" s="2397" t="s">
        <v>681</v>
      </c>
      <c r="K612" s="2398"/>
      <c r="L612" s="2398"/>
      <c r="M612" s="2398"/>
      <c r="N612" s="2399"/>
      <c r="O612" s="2298">
        <f>Application!BN625</f>
        <v>0</v>
      </c>
      <c r="P612" s="2299"/>
      <c r="Q612" s="2299"/>
      <c r="R612" s="2299"/>
      <c r="S612" s="2300"/>
      <c r="T612" s="2298">
        <f>Application!CS626</f>
        <v>0</v>
      </c>
      <c r="U612" s="2299"/>
      <c r="V612" s="2299"/>
      <c r="W612" s="2299"/>
      <c r="X612" s="2300"/>
      <c r="Y612" s="2385">
        <f t="shared" si="9"/>
        <v>0</v>
      </c>
      <c r="Z612" s="2386"/>
      <c r="AA612" s="2386"/>
      <c r="AB612" s="2386"/>
      <c r="AC612" s="2387"/>
      <c r="AD612" s="16"/>
      <c r="AF612" s="16"/>
      <c r="AG612" s="16"/>
      <c r="AH612" s="16"/>
      <c r="AI612" s="16"/>
      <c r="AJ612" s="16"/>
      <c r="AN612" s="1147"/>
      <c r="AQ612" s="30"/>
      <c r="AR612" s="30"/>
      <c r="AS612" s="30"/>
      <c r="AT612" s="30"/>
    </row>
    <row r="613" spans="1:60">
      <c r="D613" s="16"/>
      <c r="E613" s="16"/>
      <c r="F613" s="16"/>
      <c r="G613" s="16"/>
      <c r="H613" s="16"/>
      <c r="I613" s="16"/>
      <c r="J613" s="2393" t="s">
        <v>975</v>
      </c>
      <c r="K613" s="2394"/>
      <c r="L613" s="2394"/>
      <c r="M613" s="2394"/>
      <c r="N613" s="2395"/>
      <c r="O613" s="2390">
        <f>SUM(O607:S612)</f>
        <v>62</v>
      </c>
      <c r="P613" s="2391"/>
      <c r="Q613" s="2391"/>
      <c r="R613" s="2391"/>
      <c r="S613" s="2392"/>
      <c r="T613" s="2390">
        <f>SUM(T607:X612)</f>
        <v>19</v>
      </c>
      <c r="U613" s="2391"/>
      <c r="V613" s="2391"/>
      <c r="W613" s="2391"/>
      <c r="X613" s="2392"/>
      <c r="Y613" s="2464" t="s">
        <v>259</v>
      </c>
      <c r="Z613" s="2465"/>
      <c r="AA613" s="2465"/>
      <c r="AB613" s="2465"/>
      <c r="AC613" s="2466"/>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742" t="s">
        <v>1691</v>
      </c>
      <c r="B616" s="1743"/>
      <c r="C616" s="1743"/>
      <c r="D616" s="1743"/>
      <c r="E616" s="1743"/>
      <c r="F616" s="1743"/>
      <c r="G616" s="1743"/>
      <c r="H616" s="1743"/>
      <c r="I616" s="1743"/>
      <c r="J616" s="1743"/>
      <c r="K616" s="1743"/>
      <c r="L616" s="1743"/>
      <c r="M616" s="1743"/>
      <c r="N616" s="1743"/>
      <c r="O616" s="1743"/>
      <c r="P616" s="1743"/>
      <c r="Q616" s="1743"/>
      <c r="R616" s="1743"/>
      <c r="S616" s="1743"/>
      <c r="T616" s="1743"/>
      <c r="U616" s="1743"/>
      <c r="V616" s="1743"/>
      <c r="W616" s="1743"/>
      <c r="X616" s="1743"/>
      <c r="Y616" s="1743"/>
      <c r="Z616" s="1743"/>
      <c r="AA616" s="1743"/>
      <c r="AB616" s="1743"/>
      <c r="AC616" s="1743"/>
      <c r="AD616" s="1743"/>
      <c r="AE616" s="1743"/>
      <c r="AF616" s="1743"/>
      <c r="AG616" s="1743"/>
      <c r="AH616" s="1743"/>
      <c r="AI616" s="1745"/>
      <c r="AJ616" s="2428">
        <v>2</v>
      </c>
      <c r="AK616" s="2429"/>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556" t="s">
        <v>197</v>
      </c>
      <c r="B618" s="2556"/>
      <c r="C618" s="2556"/>
      <c r="D618" s="2556"/>
      <c r="E618" s="2556"/>
      <c r="F618" s="2556"/>
      <c r="G618" s="2556"/>
      <c r="H618" s="2556"/>
      <c r="I618" s="2556"/>
      <c r="J618" s="2556"/>
      <c r="K618" s="2556"/>
      <c r="L618" s="2556"/>
      <c r="M618" s="2556"/>
      <c r="N618" s="2556"/>
      <c r="O618" s="2556"/>
      <c r="P618" s="2556"/>
      <c r="Q618" s="2556"/>
      <c r="R618" s="2556"/>
      <c r="S618" s="2556"/>
      <c r="T618" s="2556"/>
      <c r="U618" s="2556"/>
      <c r="V618" s="2556"/>
      <c r="W618" s="2556"/>
      <c r="X618" s="2556"/>
      <c r="Y618" s="2556"/>
      <c r="Z618" s="2556"/>
      <c r="AA618" s="2556"/>
      <c r="AB618" s="2556"/>
      <c r="AC618" s="2556"/>
      <c r="AD618" s="2556"/>
      <c r="AE618" s="2556"/>
      <c r="AF618" s="2556"/>
      <c r="AG618" s="2556"/>
      <c r="AH618" s="2556"/>
      <c r="AI618" s="2556"/>
      <c r="AJ618" s="2556"/>
      <c r="AK618" s="2359">
        <f>IF($AC$592=0,0,$AC$592+$AJ$616)</f>
        <v>54.5</v>
      </c>
      <c r="AL618" s="2417"/>
      <c r="AM618" s="2360"/>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65" customHeight="1">
      <c r="A621" s="26"/>
      <c r="AI621" s="27"/>
      <c r="AJ621" s="46"/>
      <c r="AK621" s="153"/>
      <c r="AL621" s="153"/>
      <c r="AM621" s="153"/>
      <c r="AN621" s="1147"/>
      <c r="AO621" s="46"/>
      <c r="AR621" s="30"/>
      <c r="AS621" s="30"/>
      <c r="AT621" s="30"/>
    </row>
    <row r="622" spans="1:60" ht="13.65" customHeight="1">
      <c r="A622" s="29"/>
      <c r="B622" s="2396" t="s">
        <v>1692</v>
      </c>
      <c r="C622" s="2396"/>
      <c r="D622" s="2396"/>
      <c r="E622" s="2396"/>
      <c r="F622" s="2396"/>
      <c r="G622" s="2396"/>
      <c r="H622" s="2396"/>
      <c r="I622" s="2396"/>
      <c r="J622" s="2396"/>
      <c r="K622" s="2396"/>
      <c r="L622" s="2396"/>
      <c r="M622" s="2396"/>
      <c r="N622" s="2396"/>
      <c r="O622" s="2396"/>
      <c r="P622" s="2396"/>
      <c r="Q622" s="2396"/>
      <c r="R622" s="2396"/>
      <c r="S622" s="2396"/>
      <c r="T622" s="2396"/>
      <c r="U622" s="2396"/>
      <c r="V622" s="2396"/>
      <c r="W622" s="2396"/>
      <c r="X622" s="2396"/>
      <c r="Y622" s="2396"/>
      <c r="Z622" s="2396"/>
      <c r="AA622" s="2396"/>
      <c r="AB622" s="2396"/>
      <c r="AC622" s="2396"/>
      <c r="AD622" s="2396"/>
      <c r="AE622" s="2396"/>
      <c r="AF622" s="2396"/>
      <c r="AG622" s="2396"/>
      <c r="AH622" s="2396"/>
      <c r="AI622" s="27"/>
      <c r="AJ622" s="46"/>
      <c r="AK622" s="153"/>
      <c r="AL622" s="153"/>
      <c r="AM622" s="153"/>
      <c r="AN622" s="1147"/>
      <c r="AO622" s="66"/>
      <c r="AP622" s="30"/>
      <c r="AQ622" s="30"/>
      <c r="AR622" s="30"/>
      <c r="AS622" s="30"/>
      <c r="AT622" s="30"/>
    </row>
    <row r="623" spans="1:60" ht="22.65" customHeight="1">
      <c r="A623" s="28"/>
      <c r="B623" s="2396"/>
      <c r="C623" s="2396"/>
      <c r="D623" s="2396"/>
      <c r="E623" s="2396"/>
      <c r="F623" s="2396"/>
      <c r="G623" s="2396"/>
      <c r="H623" s="2396"/>
      <c r="I623" s="2396"/>
      <c r="J623" s="2396"/>
      <c r="K623" s="2396"/>
      <c r="L623" s="2396"/>
      <c r="M623" s="2396"/>
      <c r="N623" s="2396"/>
      <c r="O623" s="2396"/>
      <c r="P623" s="2396"/>
      <c r="Q623" s="2396"/>
      <c r="R623" s="2396"/>
      <c r="S623" s="2396"/>
      <c r="T623" s="2396"/>
      <c r="U623" s="2396"/>
      <c r="V623" s="2396"/>
      <c r="W623" s="2396"/>
      <c r="X623" s="2396"/>
      <c r="Y623" s="2396"/>
      <c r="Z623" s="2396"/>
      <c r="AA623" s="2396"/>
      <c r="AB623" s="2396"/>
      <c r="AC623" s="2396"/>
      <c r="AD623" s="2396"/>
      <c r="AE623" s="2396"/>
      <c r="AF623" s="2396"/>
      <c r="AG623" s="2396"/>
      <c r="AH623" s="2396"/>
      <c r="AI623" s="46"/>
      <c r="AJ623" s="46"/>
      <c r="AK623" s="46"/>
      <c r="AL623" s="46"/>
      <c r="AM623" s="153"/>
      <c r="AN623" s="1147"/>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65" customHeight="1">
      <c r="A626" s="28"/>
      <c r="B626" s="203"/>
      <c r="C626" s="1696" t="s">
        <v>119</v>
      </c>
      <c r="D626" s="1696"/>
      <c r="E626" s="293" t="s">
        <v>641</v>
      </c>
      <c r="F626" s="2401" t="s">
        <v>2191</v>
      </c>
      <c r="G626" s="2402"/>
      <c r="H626" s="2402"/>
      <c r="I626" s="2402"/>
      <c r="J626" s="2402"/>
      <c r="K626" s="2402"/>
      <c r="L626" s="2402"/>
      <c r="M626" s="2402"/>
      <c r="N626" s="2402"/>
      <c r="O626" s="2402"/>
      <c r="P626" s="2402"/>
      <c r="Q626" s="2402"/>
      <c r="R626" s="2402"/>
      <c r="S626" s="2402"/>
      <c r="T626" s="2402"/>
      <c r="U626" s="2402"/>
      <c r="V626" s="2402"/>
      <c r="W626" s="2402"/>
      <c r="X626" s="2402"/>
      <c r="Y626" s="2402"/>
      <c r="Z626" s="2402"/>
      <c r="AA626" s="2402"/>
      <c r="AB626" s="2402"/>
      <c r="AC626" s="2402"/>
      <c r="AD626" s="2403"/>
      <c r="AE626" s="46"/>
      <c r="AF626" s="265"/>
      <c r="AG626" s="2400" t="s">
        <v>64</v>
      </c>
      <c r="AH626" s="2400"/>
      <c r="AI626" s="2400"/>
      <c r="AJ626" s="2400"/>
      <c r="AK626" s="153"/>
      <c r="AL626" s="153"/>
      <c r="AM626" s="153"/>
      <c r="AN626" s="1147"/>
      <c r="AO626" s="46">
        <f>IF($C$626="yes",5,0)</f>
        <v>5</v>
      </c>
      <c r="AS626" s="30"/>
      <c r="AT626" s="30"/>
    </row>
    <row r="627" spans="1:46" ht="13.65" customHeight="1">
      <c r="A627" s="28"/>
      <c r="B627" s="203"/>
      <c r="C627" s="77"/>
      <c r="D627" s="46"/>
      <c r="E627" s="293"/>
      <c r="F627" s="2404"/>
      <c r="G627" s="2405"/>
      <c r="H627" s="2405"/>
      <c r="I627" s="2405"/>
      <c r="J627" s="2405"/>
      <c r="K627" s="2405"/>
      <c r="L627" s="2405"/>
      <c r="M627" s="2405"/>
      <c r="N627" s="2405"/>
      <c r="O627" s="2405"/>
      <c r="P627" s="2405"/>
      <c r="Q627" s="2405"/>
      <c r="R627" s="2405"/>
      <c r="S627" s="2405"/>
      <c r="T627" s="2405"/>
      <c r="U627" s="2405"/>
      <c r="V627" s="2405"/>
      <c r="W627" s="2405"/>
      <c r="X627" s="2405"/>
      <c r="Y627" s="2405"/>
      <c r="Z627" s="2405"/>
      <c r="AA627" s="2405"/>
      <c r="AB627" s="2405"/>
      <c r="AC627" s="2405"/>
      <c r="AD627" s="2406"/>
      <c r="AE627" s="46"/>
      <c r="AF627" s="265"/>
      <c r="AG627" s="265"/>
      <c r="AH627" s="265"/>
      <c r="AI627" s="265"/>
      <c r="AJ627" s="46"/>
      <c r="AK627" s="153"/>
      <c r="AL627" s="153"/>
      <c r="AM627" s="153"/>
      <c r="AN627" s="1147"/>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1"/>
      <c r="AE628" s="46"/>
      <c r="AF628" s="265"/>
      <c r="AG628" s="265"/>
      <c r="AH628" s="265"/>
      <c r="AI628" s="265"/>
      <c r="AJ628" s="46"/>
      <c r="AK628" s="153"/>
      <c r="AL628" s="153"/>
      <c r="AM628" s="153"/>
      <c r="AN628" s="1147"/>
      <c r="AO628" s="46">
        <f>SUM(AO626:AO627)</f>
        <v>10</v>
      </c>
      <c r="AP628" s="64" t="s">
        <v>356</v>
      </c>
      <c r="AS628" s="30"/>
      <c r="AT628" s="30"/>
    </row>
    <row r="629" spans="1:46" ht="13.65" customHeight="1">
      <c r="A629" s="28"/>
      <c r="B629" s="203"/>
      <c r="C629" s="1696" t="s">
        <v>119</v>
      </c>
      <c r="D629" s="1696"/>
      <c r="E629" s="293" t="s">
        <v>214</v>
      </c>
      <c r="F629" s="2401" t="s">
        <v>2239</v>
      </c>
      <c r="G629" s="2402"/>
      <c r="H629" s="2402"/>
      <c r="I629" s="2402"/>
      <c r="J629" s="2402"/>
      <c r="K629" s="2402"/>
      <c r="L629" s="2402"/>
      <c r="M629" s="2402"/>
      <c r="N629" s="2402"/>
      <c r="O629" s="2402"/>
      <c r="P629" s="2402"/>
      <c r="Q629" s="2402"/>
      <c r="R629" s="2402"/>
      <c r="S629" s="2402"/>
      <c r="T629" s="2402"/>
      <c r="U629" s="2402"/>
      <c r="V629" s="2402"/>
      <c r="W629" s="2402"/>
      <c r="X629" s="2402"/>
      <c r="Y629" s="2402"/>
      <c r="Z629" s="2402"/>
      <c r="AA629" s="2402"/>
      <c r="AB629" s="2402"/>
      <c r="AC629" s="2402"/>
      <c r="AD629" s="2403"/>
      <c r="AE629" s="46"/>
      <c r="AF629" s="265"/>
      <c r="AG629" s="2400" t="s">
        <v>64</v>
      </c>
      <c r="AH629" s="2400"/>
      <c r="AI629" s="2400"/>
      <c r="AJ629" s="2400"/>
      <c r="AK629" s="153"/>
      <c r="AL629" s="153"/>
      <c r="AM629" s="153"/>
      <c r="AN629" s="1147"/>
      <c r="AS629" s="30"/>
      <c r="AT629" s="30"/>
    </row>
    <row r="630" spans="1:46">
      <c r="A630" s="28"/>
      <c r="B630" s="203"/>
      <c r="C630" s="77"/>
      <c r="D630" s="46"/>
      <c r="E630" s="293"/>
      <c r="F630" s="2404"/>
      <c r="G630" s="2405"/>
      <c r="H630" s="2405"/>
      <c r="I630" s="2405"/>
      <c r="J630" s="2405"/>
      <c r="K630" s="2405"/>
      <c r="L630" s="2405"/>
      <c r="M630" s="2405"/>
      <c r="N630" s="2405"/>
      <c r="O630" s="2405"/>
      <c r="P630" s="2405"/>
      <c r="Q630" s="2405"/>
      <c r="R630" s="2405"/>
      <c r="S630" s="2405"/>
      <c r="T630" s="2405"/>
      <c r="U630" s="2405"/>
      <c r="V630" s="2405"/>
      <c r="W630" s="2405"/>
      <c r="X630" s="2405"/>
      <c r="Y630" s="2405"/>
      <c r="Z630" s="2405"/>
      <c r="AA630" s="2405"/>
      <c r="AB630" s="2405"/>
      <c r="AC630" s="2405"/>
      <c r="AD630" s="2406"/>
      <c r="AE630" s="46"/>
      <c r="AF630" s="265"/>
      <c r="AG630" s="265"/>
      <c r="AH630" s="265"/>
      <c r="AI630" s="265"/>
      <c r="AJ630" s="46"/>
      <c r="AK630" s="153"/>
      <c r="AL630" s="153"/>
      <c r="AM630" s="153"/>
      <c r="AN630" s="1147"/>
      <c r="AS630" s="30"/>
      <c r="AT630" s="30"/>
    </row>
    <row r="631" spans="1:46">
      <c r="A631" s="28"/>
      <c r="B631" s="203"/>
      <c r="C631" s="77"/>
      <c r="D631" s="46"/>
      <c r="E631" s="293"/>
      <c r="F631" s="1415"/>
      <c r="G631" s="1415"/>
      <c r="H631" s="1415"/>
      <c r="I631" s="1415"/>
      <c r="J631" s="1415"/>
      <c r="K631" s="1415"/>
      <c r="L631" s="1415"/>
      <c r="M631" s="1415"/>
      <c r="N631" s="1415"/>
      <c r="O631" s="1415"/>
      <c r="P631" s="1415"/>
      <c r="Q631" s="1415"/>
      <c r="R631" s="1415"/>
      <c r="S631" s="1415"/>
      <c r="T631" s="1415"/>
      <c r="U631" s="1415"/>
      <c r="V631" s="1415"/>
      <c r="W631" s="1415"/>
      <c r="X631" s="1415"/>
      <c r="Y631" s="1415"/>
      <c r="Z631" s="1415"/>
      <c r="AA631" s="1415"/>
      <c r="AB631" s="1415"/>
      <c r="AC631" s="1415"/>
      <c r="AD631" s="1415"/>
      <c r="AE631" s="162"/>
      <c r="AF631" s="265"/>
      <c r="AG631" s="265"/>
      <c r="AH631" s="265"/>
      <c r="AI631" s="265"/>
      <c r="AJ631" s="46"/>
      <c r="AK631" s="153"/>
      <c r="AL631" s="153"/>
      <c r="AM631" s="153"/>
      <c r="AN631" s="1147"/>
      <c r="AS631" s="30"/>
      <c r="AT631" s="30"/>
    </row>
    <row r="632" spans="1:46" ht="13.65" customHeight="1">
      <c r="A632" s="28"/>
      <c r="B632" s="2396" t="s">
        <v>2079</v>
      </c>
      <c r="C632" s="2396"/>
      <c r="D632" s="2396"/>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2396"/>
      <c r="AI632" s="265"/>
      <c r="AJ632" s="46"/>
      <c r="AK632" s="153"/>
      <c r="AL632" s="153"/>
      <c r="AM632" s="153"/>
    </row>
    <row r="633" spans="1:46" ht="13.65" customHeight="1">
      <c r="B633" s="2396"/>
      <c r="C633" s="2396"/>
      <c r="D633" s="2396"/>
      <c r="E633" s="2396"/>
      <c r="F633" s="2396"/>
      <c r="G633" s="2396"/>
      <c r="H633" s="2396"/>
      <c r="I633" s="2396"/>
      <c r="J633" s="2396"/>
      <c r="K633" s="2396"/>
      <c r="L633" s="2396"/>
      <c r="M633" s="2396"/>
      <c r="N633" s="2396"/>
      <c r="O633" s="2396"/>
      <c r="P633" s="2396"/>
      <c r="Q633" s="2396"/>
      <c r="R633" s="2396"/>
      <c r="S633" s="2396"/>
      <c r="T633" s="2396"/>
      <c r="U633" s="2396"/>
      <c r="V633" s="2396"/>
      <c r="W633" s="2396"/>
      <c r="X633" s="2396"/>
      <c r="Y633" s="2396"/>
      <c r="Z633" s="2396"/>
      <c r="AA633" s="2396"/>
      <c r="AB633" s="2396"/>
      <c r="AC633" s="2396"/>
      <c r="AD633" s="2396"/>
      <c r="AE633" s="2396"/>
      <c r="AF633" s="2396"/>
      <c r="AG633" s="2396"/>
      <c r="AH633" s="2396"/>
      <c r="AI633" s="245"/>
      <c r="AJ633" s="46"/>
      <c r="AK633" s="153"/>
      <c r="AL633" s="153"/>
      <c r="AM633" s="153"/>
    </row>
    <row r="634" spans="1:46" ht="13.65" customHeight="1">
      <c r="A634" s="263"/>
      <c r="B634" s="2396"/>
      <c r="C634" s="2396"/>
      <c r="D634" s="2396"/>
      <c r="E634" s="2396"/>
      <c r="F634" s="2396"/>
      <c r="G634" s="2396"/>
      <c r="H634" s="2396"/>
      <c r="I634" s="2396"/>
      <c r="J634" s="2396"/>
      <c r="K634" s="2396"/>
      <c r="L634" s="2396"/>
      <c r="M634" s="2396"/>
      <c r="N634" s="2396"/>
      <c r="O634" s="2396"/>
      <c r="P634" s="2396"/>
      <c r="Q634" s="2396"/>
      <c r="R634" s="2396"/>
      <c r="S634" s="2396"/>
      <c r="T634" s="2396"/>
      <c r="U634" s="2396"/>
      <c r="V634" s="2396"/>
      <c r="W634" s="2396"/>
      <c r="X634" s="2396"/>
      <c r="Y634" s="2396"/>
      <c r="Z634" s="2396"/>
      <c r="AA634" s="2396"/>
      <c r="AB634" s="2396"/>
      <c r="AC634" s="2396"/>
      <c r="AD634" s="2396"/>
      <c r="AE634" s="2396"/>
      <c r="AF634" s="2396"/>
      <c r="AG634" s="2396"/>
      <c r="AH634" s="2396"/>
      <c r="AI634" s="245"/>
      <c r="AJ634" s="46"/>
      <c r="AK634" s="153"/>
      <c r="AL634" s="153"/>
      <c r="AM634" s="153"/>
      <c r="AN634" s="124"/>
    </row>
    <row r="635" spans="1:46" ht="13.65" customHeight="1">
      <c r="A635" s="46"/>
      <c r="B635" s="2396"/>
      <c r="C635" s="2396"/>
      <c r="D635" s="2396"/>
      <c r="E635" s="2396"/>
      <c r="F635" s="2396"/>
      <c r="G635" s="2396"/>
      <c r="H635" s="2396"/>
      <c r="I635" s="2396"/>
      <c r="J635" s="2396"/>
      <c r="K635" s="2396"/>
      <c r="L635" s="2396"/>
      <c r="M635" s="2396"/>
      <c r="N635" s="2396"/>
      <c r="O635" s="2396"/>
      <c r="P635" s="2396"/>
      <c r="Q635" s="2396"/>
      <c r="R635" s="2396"/>
      <c r="S635" s="2396"/>
      <c r="T635" s="2396"/>
      <c r="U635" s="2396"/>
      <c r="V635" s="2396"/>
      <c r="W635" s="2396"/>
      <c r="X635" s="2396"/>
      <c r="Y635" s="2396"/>
      <c r="Z635" s="2396"/>
      <c r="AA635" s="2396"/>
      <c r="AB635" s="2396"/>
      <c r="AC635" s="2396"/>
      <c r="AD635" s="2396"/>
      <c r="AE635" s="2396"/>
      <c r="AF635" s="2396"/>
      <c r="AG635" s="2396"/>
      <c r="AH635" s="2396"/>
      <c r="AI635" s="245"/>
      <c r="AJ635" s="46"/>
      <c r="AK635" s="153"/>
      <c r="AL635" s="153"/>
      <c r="AM635" s="153"/>
      <c r="AN635" s="124"/>
    </row>
    <row r="636" spans="1:46" ht="13.65" customHeight="1">
      <c r="A636" s="46"/>
      <c r="B636" s="2396"/>
      <c r="C636" s="2396"/>
      <c r="D636" s="2396"/>
      <c r="E636" s="2396"/>
      <c r="F636" s="2396"/>
      <c r="G636" s="2396"/>
      <c r="H636" s="2396"/>
      <c r="I636" s="2396"/>
      <c r="J636" s="2396"/>
      <c r="K636" s="2396"/>
      <c r="L636" s="2396"/>
      <c r="M636" s="2396"/>
      <c r="N636" s="2396"/>
      <c r="O636" s="2396"/>
      <c r="P636" s="2396"/>
      <c r="Q636" s="2396"/>
      <c r="R636" s="2396"/>
      <c r="S636" s="2396"/>
      <c r="T636" s="2396"/>
      <c r="U636" s="2396"/>
      <c r="V636" s="2396"/>
      <c r="W636" s="2396"/>
      <c r="X636" s="2396"/>
      <c r="Y636" s="2396"/>
      <c r="Z636" s="2396"/>
      <c r="AA636" s="2396"/>
      <c r="AB636" s="2396"/>
      <c r="AC636" s="2396"/>
      <c r="AD636" s="2396"/>
      <c r="AE636" s="2396"/>
      <c r="AF636" s="2396"/>
      <c r="AG636" s="2396"/>
      <c r="AH636" s="2396"/>
      <c r="AI636" s="245"/>
      <c r="AJ636" s="46"/>
      <c r="AK636" s="153"/>
      <c r="AL636" s="153"/>
      <c r="AM636" s="153"/>
      <c r="AN636" s="124"/>
    </row>
    <row r="637" spans="1:46" ht="13.65" customHeight="1">
      <c r="A637" s="263"/>
      <c r="B637" s="2396"/>
      <c r="C637" s="2396"/>
      <c r="D637" s="2396"/>
      <c r="E637" s="2396"/>
      <c r="F637" s="2396"/>
      <c r="G637" s="2396"/>
      <c r="H637" s="2396"/>
      <c r="I637" s="2396"/>
      <c r="J637" s="2396"/>
      <c r="K637" s="2396"/>
      <c r="L637" s="2396"/>
      <c r="M637" s="2396"/>
      <c r="N637" s="2396"/>
      <c r="O637" s="2396"/>
      <c r="P637" s="2396"/>
      <c r="Q637" s="2396"/>
      <c r="R637" s="2396"/>
      <c r="S637" s="2396"/>
      <c r="T637" s="2396"/>
      <c r="U637" s="2396"/>
      <c r="V637" s="2396"/>
      <c r="W637" s="2396"/>
      <c r="X637" s="2396"/>
      <c r="Y637" s="2396"/>
      <c r="Z637" s="2396"/>
      <c r="AA637" s="2396"/>
      <c r="AB637" s="2396"/>
      <c r="AC637" s="2396"/>
      <c r="AD637" s="2396"/>
      <c r="AE637" s="2396"/>
      <c r="AF637" s="2396"/>
      <c r="AG637" s="2396"/>
      <c r="AH637" s="2396"/>
      <c r="AI637" s="245"/>
      <c r="AJ637" s="46"/>
      <c r="AK637" s="153"/>
      <c r="AL637" s="153"/>
      <c r="AM637" s="153"/>
      <c r="AN637" s="124"/>
    </row>
    <row r="638" spans="1:46" ht="13.65" customHeight="1">
      <c r="A638" s="263"/>
      <c r="B638" s="2396"/>
      <c r="C638" s="2396"/>
      <c r="D638" s="2396"/>
      <c r="E638" s="2396"/>
      <c r="F638" s="2396"/>
      <c r="G638" s="2396"/>
      <c r="H638" s="2396"/>
      <c r="I638" s="2396"/>
      <c r="J638" s="2396"/>
      <c r="K638" s="2396"/>
      <c r="L638" s="2396"/>
      <c r="M638" s="2396"/>
      <c r="N638" s="2396"/>
      <c r="O638" s="2396"/>
      <c r="P638" s="2396"/>
      <c r="Q638" s="2396"/>
      <c r="R638" s="2396"/>
      <c r="S638" s="2396"/>
      <c r="T638" s="2396"/>
      <c r="U638" s="2396"/>
      <c r="V638" s="2396"/>
      <c r="W638" s="2396"/>
      <c r="X638" s="2396"/>
      <c r="Y638" s="2396"/>
      <c r="Z638" s="2396"/>
      <c r="AA638" s="2396"/>
      <c r="AB638" s="2396"/>
      <c r="AC638" s="2396"/>
      <c r="AD638" s="2396"/>
      <c r="AE638" s="2396"/>
      <c r="AF638" s="2396"/>
      <c r="AG638" s="2396"/>
      <c r="AH638" s="2396"/>
      <c r="AI638" s="245"/>
      <c r="AJ638" s="46"/>
      <c r="AK638" s="153"/>
      <c r="AL638" s="153"/>
      <c r="AM638" s="153"/>
      <c r="AN638" s="124"/>
    </row>
    <row r="639" spans="1:46" ht="13.65" customHeight="1">
      <c r="A639" s="263"/>
      <c r="B639" s="2396"/>
      <c r="C639" s="2396"/>
      <c r="D639" s="2396"/>
      <c r="E639" s="2396"/>
      <c r="F639" s="2396"/>
      <c r="G639" s="2396"/>
      <c r="H639" s="2396"/>
      <c r="I639" s="2396"/>
      <c r="J639" s="2396"/>
      <c r="K639" s="2396"/>
      <c r="L639" s="2396"/>
      <c r="M639" s="2396"/>
      <c r="N639" s="2396"/>
      <c r="O639" s="2396"/>
      <c r="P639" s="2396"/>
      <c r="Q639" s="2396"/>
      <c r="R639" s="2396"/>
      <c r="S639" s="2396"/>
      <c r="T639" s="2396"/>
      <c r="U639" s="2396"/>
      <c r="V639" s="2396"/>
      <c r="W639" s="2396"/>
      <c r="X639" s="2396"/>
      <c r="Y639" s="2396"/>
      <c r="Z639" s="2396"/>
      <c r="AA639" s="2396"/>
      <c r="AB639" s="2396"/>
      <c r="AC639" s="2396"/>
      <c r="AD639" s="2396"/>
      <c r="AE639" s="2396"/>
      <c r="AF639" s="2396"/>
      <c r="AG639" s="2396"/>
      <c r="AH639" s="2396"/>
      <c r="AI639" s="245"/>
      <c r="AJ639" s="46"/>
      <c r="AK639" s="153"/>
      <c r="AL639" s="153"/>
      <c r="AM639" s="153"/>
      <c r="AN639" s="124"/>
    </row>
    <row r="640" spans="1:46" ht="13.65" customHeight="1">
      <c r="A640" s="263"/>
      <c r="B640" s="2396"/>
      <c r="C640" s="2396"/>
      <c r="D640" s="2396"/>
      <c r="E640" s="2396"/>
      <c r="F640" s="2396"/>
      <c r="G640" s="2396"/>
      <c r="H640" s="2396"/>
      <c r="I640" s="2396"/>
      <c r="J640" s="2396"/>
      <c r="K640" s="2396"/>
      <c r="L640" s="2396"/>
      <c r="M640" s="2396"/>
      <c r="N640" s="2396"/>
      <c r="O640" s="2396"/>
      <c r="P640" s="2396"/>
      <c r="Q640" s="2396"/>
      <c r="R640" s="2396"/>
      <c r="S640" s="2396"/>
      <c r="T640" s="2396"/>
      <c r="U640" s="2396"/>
      <c r="V640" s="2396"/>
      <c r="W640" s="2396"/>
      <c r="X640" s="2396"/>
      <c r="Y640" s="2396"/>
      <c r="Z640" s="2396"/>
      <c r="AA640" s="2396"/>
      <c r="AB640" s="2396"/>
      <c r="AC640" s="2396"/>
      <c r="AD640" s="2396"/>
      <c r="AE640" s="2396"/>
      <c r="AF640" s="2396"/>
      <c r="AG640" s="2396"/>
      <c r="AH640" s="2396"/>
      <c r="AI640" s="245"/>
      <c r="AJ640" s="46"/>
      <c r="AK640" s="153"/>
      <c r="AL640" s="153"/>
      <c r="AM640" s="153"/>
      <c r="AN640" s="124"/>
    </row>
    <row r="641" spans="1:60">
      <c r="A641" s="263"/>
      <c r="B641" s="2396"/>
      <c r="C641" s="2396"/>
      <c r="D641" s="2396"/>
      <c r="E641" s="2396"/>
      <c r="F641" s="2396"/>
      <c r="G641" s="2396"/>
      <c r="H641" s="2396"/>
      <c r="I641" s="2396"/>
      <c r="J641" s="2396"/>
      <c r="K641" s="2396"/>
      <c r="L641" s="2396"/>
      <c r="M641" s="2396"/>
      <c r="N641" s="2396"/>
      <c r="O641" s="2396"/>
      <c r="P641" s="2396"/>
      <c r="Q641" s="2396"/>
      <c r="R641" s="2396"/>
      <c r="S641" s="2396"/>
      <c r="T641" s="2396"/>
      <c r="U641" s="2396"/>
      <c r="V641" s="2396"/>
      <c r="W641" s="2396"/>
      <c r="X641" s="2396"/>
      <c r="Y641" s="2396"/>
      <c r="Z641" s="2396"/>
      <c r="AA641" s="2396"/>
      <c r="AB641" s="2396"/>
      <c r="AC641" s="2396"/>
      <c r="AD641" s="2396"/>
      <c r="AE641" s="2396"/>
      <c r="AF641" s="2396"/>
      <c r="AG641" s="2396"/>
      <c r="AH641" s="2396"/>
      <c r="AI641" s="245"/>
      <c r="AJ641" s="46"/>
      <c r="AK641" s="153"/>
      <c r="AL641" s="153"/>
      <c r="AM641" s="153"/>
      <c r="AN641" s="124"/>
    </row>
    <row r="642" spans="1:60">
      <c r="A642" s="263"/>
      <c r="B642" s="2396"/>
      <c r="C642" s="2396"/>
      <c r="D642" s="2396"/>
      <c r="E642" s="2396"/>
      <c r="F642" s="2396"/>
      <c r="G642" s="2396"/>
      <c r="H642" s="2396"/>
      <c r="I642" s="2396"/>
      <c r="J642" s="2396"/>
      <c r="K642" s="2396"/>
      <c r="L642" s="2396"/>
      <c r="M642" s="2396"/>
      <c r="N642" s="2396"/>
      <c r="O642" s="2396"/>
      <c r="P642" s="2396"/>
      <c r="Q642" s="2396"/>
      <c r="R642" s="2396"/>
      <c r="S642" s="2396"/>
      <c r="T642" s="2396"/>
      <c r="U642" s="2396"/>
      <c r="V642" s="2396"/>
      <c r="W642" s="2396"/>
      <c r="X642" s="2396"/>
      <c r="Y642" s="2396"/>
      <c r="Z642" s="2396"/>
      <c r="AA642" s="2396"/>
      <c r="AB642" s="2396"/>
      <c r="AC642" s="2396"/>
      <c r="AD642" s="2396"/>
      <c r="AE642" s="2396"/>
      <c r="AF642" s="2396"/>
      <c r="AG642" s="2396"/>
      <c r="AH642" s="2396"/>
      <c r="AI642" s="245"/>
      <c r="AJ642" s="46"/>
      <c r="AK642" s="153"/>
      <c r="AL642" s="153"/>
      <c r="AM642" s="153"/>
      <c r="AN642" s="124"/>
    </row>
    <row r="643" spans="1:60">
      <c r="A643" s="263"/>
      <c r="B643" s="2396"/>
      <c r="C643" s="2396"/>
      <c r="D643" s="2396"/>
      <c r="E643" s="2396"/>
      <c r="F643" s="2396"/>
      <c r="G643" s="2396"/>
      <c r="H643" s="2396"/>
      <c r="I643" s="2396"/>
      <c r="J643" s="2396"/>
      <c r="K643" s="2396"/>
      <c r="L643" s="2396"/>
      <c r="M643" s="2396"/>
      <c r="N643" s="2396"/>
      <c r="O643" s="2396"/>
      <c r="P643" s="2396"/>
      <c r="Q643" s="2396"/>
      <c r="R643" s="2396"/>
      <c r="S643" s="2396"/>
      <c r="T643" s="2396"/>
      <c r="U643" s="2396"/>
      <c r="V643" s="2396"/>
      <c r="W643" s="2396"/>
      <c r="X643" s="2396"/>
      <c r="Y643" s="2396"/>
      <c r="Z643" s="2396"/>
      <c r="AA643" s="2396"/>
      <c r="AB643" s="2396"/>
      <c r="AC643" s="2396"/>
      <c r="AD643" s="2396"/>
      <c r="AE643" s="2396"/>
      <c r="AF643" s="2396"/>
      <c r="AG643" s="2396"/>
      <c r="AH643" s="2396"/>
      <c r="AI643" s="266"/>
      <c r="AJ643" s="46"/>
      <c r="AK643" s="153"/>
      <c r="AL643" s="153"/>
      <c r="AM643" s="153"/>
      <c r="AN643" s="124"/>
    </row>
    <row r="644" spans="1:60" s="1036"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8"/>
      <c r="BD644" s="1038"/>
      <c r="BE644" s="1038"/>
      <c r="BF644" s="1038"/>
      <c r="BG644" s="1038"/>
      <c r="BH644" s="1038"/>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5" t="s">
        <v>198</v>
      </c>
      <c r="AK645" s="2359">
        <f>$AO$628</f>
        <v>10</v>
      </c>
      <c r="AL645" s="2417"/>
      <c r="AM645" s="2360"/>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3"/>
      <c r="AR649" s="1"/>
      <c r="AS649" s="1"/>
      <c r="AT649" s="1"/>
      <c r="AU649" s="1"/>
      <c r="AV649" s="1034"/>
      <c r="AW649" s="1034"/>
      <c r="AX649" s="125"/>
      <c r="AY649" s="125"/>
      <c r="AZ649" s="125"/>
      <c r="BA649" s="125"/>
    </row>
    <row r="650" spans="1:60">
      <c r="C650" s="1696" t="s">
        <v>119</v>
      </c>
      <c r="D650" s="1696"/>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3"/>
      <c r="AR650" s="1"/>
      <c r="AS650" s="1"/>
      <c r="AT650" s="1"/>
      <c r="AU650" s="1"/>
      <c r="AV650" s="1034"/>
      <c r="AW650" s="1034"/>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4"/>
      <c r="AW651" s="1034"/>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4"/>
      <c r="AW652" s="1034"/>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4"/>
      <c r="AW653" s="1034"/>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96" t="s">
        <v>136</v>
      </c>
      <c r="D655" s="1696"/>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9"/>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7"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96" t="s">
        <v>136</v>
      </c>
      <c r="D659" s="1696"/>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6" t="s">
        <v>136</v>
      </c>
      <c r="D663" s="1696"/>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96" t="s">
        <v>136</v>
      </c>
      <c r="D665" s="1696"/>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96" t="s">
        <v>136</v>
      </c>
      <c r="D670" s="1696"/>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5" t="s">
        <v>1132</v>
      </c>
      <c r="AK673" s="2359">
        <f>$AO$656</f>
        <v>2</v>
      </c>
      <c r="AL673" s="2417"/>
      <c r="AM673" s="2360"/>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49" t="s">
        <v>789</v>
      </c>
      <c r="B676" s="2449"/>
      <c r="C676" s="2449"/>
      <c r="D676" s="2449"/>
      <c r="E676" s="2449"/>
      <c r="F676" s="2449"/>
      <c r="G676" s="2449"/>
      <c r="H676" s="2449"/>
      <c r="I676" s="2449"/>
      <c r="J676" s="2449"/>
      <c r="K676" s="2449"/>
      <c r="L676" s="2449"/>
      <c r="M676" s="2449"/>
      <c r="N676" s="2449"/>
      <c r="O676" s="2449"/>
      <c r="P676" s="2449"/>
      <c r="Q676" s="2449"/>
      <c r="R676" s="2449"/>
      <c r="S676" s="2449"/>
      <c r="T676" s="2449"/>
      <c r="U676" s="2449"/>
      <c r="V676" s="2449"/>
      <c r="W676" s="2449"/>
      <c r="X676" s="2449"/>
      <c r="Y676" s="2449"/>
      <c r="Z676" s="2449"/>
      <c r="AA676" s="2449"/>
      <c r="AB676" s="2449"/>
      <c r="AC676" s="2449"/>
      <c r="AD676" s="2449"/>
      <c r="AE676" s="2449"/>
      <c r="AF676" s="2449"/>
      <c r="AG676" s="2449"/>
      <c r="AH676" s="2449"/>
      <c r="AI676" s="2449"/>
      <c r="AJ676" s="2449"/>
      <c r="AK676" s="2449"/>
      <c r="AL676" s="2449"/>
      <c r="AM676" s="2449"/>
    </row>
    <row r="677" spans="1:43">
      <c r="A677" s="2450"/>
      <c r="B677" s="2450"/>
      <c r="C677" s="2450"/>
      <c r="D677" s="2450"/>
      <c r="E677" s="2450"/>
      <c r="F677" s="2450"/>
      <c r="G677" s="2450"/>
      <c r="H677" s="2450"/>
      <c r="I677" s="2450"/>
      <c r="J677" s="2450"/>
      <c r="K677" s="2450"/>
      <c r="L677" s="2450"/>
      <c r="M677" s="2450"/>
      <c r="N677" s="2450"/>
      <c r="O677" s="2450"/>
      <c r="P677" s="2450"/>
      <c r="Q677" s="2450"/>
      <c r="R677" s="2450"/>
      <c r="S677" s="2450"/>
      <c r="T677" s="2450"/>
      <c r="U677" s="2450"/>
      <c r="V677" s="2450"/>
      <c r="W677" s="2450"/>
      <c r="X677" s="2450"/>
      <c r="Y677" s="2450"/>
      <c r="Z677" s="2450"/>
      <c r="AA677" s="2450"/>
      <c r="AB677" s="2450"/>
      <c r="AC677" s="2450"/>
      <c r="AD677" s="2450"/>
      <c r="AE677" s="2450"/>
      <c r="AF677" s="2450"/>
      <c r="AG677" s="2450"/>
      <c r="AH677" s="2450"/>
      <c r="AI677" s="2450"/>
      <c r="AJ677" s="2450"/>
      <c r="AK677" s="2450"/>
      <c r="AL677" s="2450"/>
      <c r="AM677" s="2450"/>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4" t="s">
        <v>2232</v>
      </c>
      <c r="B679" s="2294"/>
      <c r="C679" s="2294"/>
      <c r="D679" s="2294"/>
      <c r="E679" s="2294"/>
      <c r="F679" s="2294"/>
      <c r="G679" s="2294"/>
      <c r="H679" s="2294"/>
      <c r="I679" s="2294"/>
      <c r="J679" s="2294"/>
      <c r="K679" s="2294"/>
      <c r="L679" s="2294"/>
      <c r="M679" s="2294"/>
      <c r="N679" s="2294"/>
      <c r="O679" s="2294"/>
      <c r="P679" s="2294"/>
      <c r="Q679" s="2294"/>
      <c r="R679" s="2294"/>
      <c r="S679" s="2294"/>
      <c r="T679" s="2294"/>
      <c r="U679" s="2294"/>
      <c r="V679" s="2294"/>
      <c r="W679" s="2294"/>
      <c r="X679" s="2294"/>
      <c r="Y679" s="2294"/>
      <c r="Z679" s="2294"/>
      <c r="AA679" s="2294"/>
      <c r="AB679" s="2294"/>
      <c r="AC679" s="2294"/>
      <c r="AD679" s="2294"/>
      <c r="AE679" s="2294"/>
      <c r="AF679" s="2294"/>
      <c r="AG679" s="2294"/>
      <c r="AH679" s="2294"/>
      <c r="AI679" s="2294"/>
      <c r="AJ679" s="2294"/>
      <c r="AK679" s="2294"/>
      <c r="AL679" s="2294"/>
      <c r="AM679" s="2294"/>
      <c r="AP679" s="755"/>
      <c r="AQ679" s="751"/>
    </row>
    <row r="680" spans="1:43">
      <c r="A680" s="2294" t="s">
        <v>2233</v>
      </c>
      <c r="B680" s="2294"/>
      <c r="C680" s="2294"/>
      <c r="D680" s="2294"/>
      <c r="E680" s="2294"/>
      <c r="F680" s="2294"/>
      <c r="G680" s="2294"/>
      <c r="H680" s="2294"/>
      <c r="I680" s="2294"/>
      <c r="J680" s="2294"/>
      <c r="K680" s="2294"/>
      <c r="L680" s="2294"/>
      <c r="M680" s="2294"/>
      <c r="N680" s="2294"/>
      <c r="O680" s="2294"/>
      <c r="P680" s="2294"/>
      <c r="Q680" s="2294"/>
      <c r="R680" s="2294"/>
      <c r="S680" s="2294"/>
      <c r="T680" s="2294"/>
      <c r="U680" s="2294"/>
      <c r="V680" s="2294"/>
      <c r="W680" s="2294"/>
      <c r="X680" s="2294"/>
      <c r="Y680" s="2294"/>
      <c r="Z680" s="2294"/>
      <c r="AA680" s="2294"/>
      <c r="AB680" s="2294"/>
      <c r="AC680" s="2294"/>
      <c r="AD680" s="2294"/>
      <c r="AE680" s="2294"/>
      <c r="AF680" s="2294"/>
      <c r="AG680" s="2294"/>
      <c r="AH680" s="2294"/>
      <c r="AI680" s="2294"/>
      <c r="AJ680" s="2294"/>
      <c r="AK680" s="2294"/>
      <c r="AL680" s="2294"/>
      <c r="AM680" s="2294"/>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0"/>
      <c r="T681" s="2411" t="s">
        <v>261</v>
      </c>
      <c r="U681" s="1891"/>
      <c r="V681" s="1891"/>
      <c r="W681" s="1891"/>
      <c r="X681" s="1891"/>
      <c r="Y681" s="1892"/>
      <c r="Z681" s="2411" t="s">
        <v>260</v>
      </c>
      <c r="AA681" s="1891"/>
      <c r="AB681" s="1891"/>
      <c r="AC681" s="1891"/>
      <c r="AD681" s="1891"/>
      <c r="AE681" s="1892"/>
      <c r="AF681" s="2411" t="s">
        <v>262</v>
      </c>
      <c r="AG681" s="1891"/>
      <c r="AH681" s="1891"/>
      <c r="AI681" s="1891"/>
      <c r="AJ681" s="1891"/>
      <c r="AK681" s="1892"/>
      <c r="AL681" s="1306"/>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2"/>
      <c r="U682" s="1893"/>
      <c r="V682" s="1893"/>
      <c r="W682" s="1893"/>
      <c r="X682" s="1893"/>
      <c r="Y682" s="1894"/>
      <c r="Z682" s="2412"/>
      <c r="AA682" s="1893"/>
      <c r="AB682" s="1893"/>
      <c r="AC682" s="1893"/>
      <c r="AD682" s="1893"/>
      <c r="AE682" s="1894"/>
      <c r="AF682" s="2412"/>
      <c r="AG682" s="1893"/>
      <c r="AH682" s="1893"/>
      <c r="AI682" s="1893"/>
      <c r="AJ682" s="1893"/>
      <c r="AK682" s="1894"/>
      <c r="AL682" s="1306"/>
      <c r="AM682" s="474"/>
      <c r="AO682" s="751">
        <f>IF(T689&gt;10,10,T689)</f>
        <v>10</v>
      </c>
      <c r="AP682" s="751"/>
      <c r="AQ682" s="751"/>
    </row>
    <row r="683" spans="1:43">
      <c r="A683" s="961" t="s">
        <v>719</v>
      </c>
      <c r="B683" s="2414" t="s">
        <v>298</v>
      </c>
      <c r="C683" s="2414"/>
      <c r="D683" s="2414"/>
      <c r="E683" s="2414"/>
      <c r="F683" s="2414"/>
      <c r="G683" s="2414"/>
      <c r="H683" s="2414"/>
      <c r="I683" s="2414"/>
      <c r="J683" s="2414"/>
      <c r="K683" s="2414"/>
      <c r="L683" s="2414"/>
      <c r="M683" s="2414"/>
      <c r="N683" s="2414"/>
      <c r="O683" s="2414"/>
      <c r="P683" s="2414"/>
      <c r="Q683" s="2414"/>
      <c r="R683" s="2414"/>
      <c r="S683" s="2415"/>
      <c r="T683" s="2413">
        <f>SUM(T684:Y685)</f>
        <v>10</v>
      </c>
      <c r="U683" s="2413"/>
      <c r="V683" s="2413"/>
      <c r="W683" s="2413"/>
      <c r="X683" s="2413"/>
      <c r="Y683" s="2413"/>
      <c r="Z683" s="1895">
        <v>10</v>
      </c>
      <c r="AA683" s="1895"/>
      <c r="AB683" s="1895"/>
      <c r="AC683" s="1895"/>
      <c r="AD683" s="1895"/>
      <c r="AE683" s="1895"/>
      <c r="AF683" s="1895">
        <f>IF(T683&gt;Z683,Z683,T683)</f>
        <v>10</v>
      </c>
      <c r="AG683" s="1895"/>
      <c r="AH683" s="1895"/>
      <c r="AI683" s="1895"/>
      <c r="AJ683" s="1895"/>
      <c r="AK683" s="1895"/>
      <c r="AL683" s="1306"/>
      <c r="AM683" s="474"/>
    </row>
    <row r="684" spans="1:43">
      <c r="A684" s="963"/>
      <c r="B684" s="964"/>
      <c r="C684" s="972"/>
      <c r="D684" s="962" t="s">
        <v>233</v>
      </c>
      <c r="E684" s="2418" t="s">
        <v>263</v>
      </c>
      <c r="F684" s="2418"/>
      <c r="G684" s="2418"/>
      <c r="H684" s="2418"/>
      <c r="I684" s="2418"/>
      <c r="J684" s="2418"/>
      <c r="K684" s="2418"/>
      <c r="L684" s="2418"/>
      <c r="M684" s="2418"/>
      <c r="N684" s="2418"/>
      <c r="O684" s="2418"/>
      <c r="P684" s="2418"/>
      <c r="Q684" s="2418"/>
      <c r="R684" s="2418"/>
      <c r="S684" s="2419"/>
      <c r="T684" s="2416">
        <f>AJ31</f>
        <v>7</v>
      </c>
      <c r="U684" s="2416"/>
      <c r="V684" s="2416"/>
      <c r="W684" s="2416"/>
      <c r="X684" s="2416"/>
      <c r="Y684" s="2416"/>
      <c r="Z684" s="2389">
        <v>7</v>
      </c>
      <c r="AA684" s="2389"/>
      <c r="AB684" s="2389"/>
      <c r="AC684" s="2389"/>
      <c r="AD684" s="2389"/>
      <c r="AE684" s="2389"/>
      <c r="AF684" s="2430"/>
      <c r="AG684" s="2430"/>
      <c r="AH684" s="2430"/>
      <c r="AI684" s="2430"/>
      <c r="AJ684" s="2430"/>
      <c r="AK684" s="2430"/>
      <c r="AL684" s="1306"/>
      <c r="AM684" s="474"/>
    </row>
    <row r="685" spans="1:43">
      <c r="A685" s="966"/>
      <c r="B685" s="964"/>
      <c r="C685" s="965"/>
      <c r="D685" s="962" t="s">
        <v>477</v>
      </c>
      <c r="E685" s="2418" t="s">
        <v>264</v>
      </c>
      <c r="F685" s="2418"/>
      <c r="G685" s="2418"/>
      <c r="H685" s="2418"/>
      <c r="I685" s="2418"/>
      <c r="J685" s="2418"/>
      <c r="K685" s="2418"/>
      <c r="L685" s="2418"/>
      <c r="M685" s="2418"/>
      <c r="N685" s="2418"/>
      <c r="O685" s="2418"/>
      <c r="P685" s="2418"/>
      <c r="Q685" s="2418"/>
      <c r="R685" s="2418"/>
      <c r="S685" s="2419"/>
      <c r="T685" s="2416">
        <f>AJ47</f>
        <v>3</v>
      </c>
      <c r="U685" s="2416"/>
      <c r="V685" s="2416"/>
      <c r="W685" s="2416"/>
      <c r="X685" s="2416"/>
      <c r="Y685" s="2416"/>
      <c r="Z685" s="2389">
        <v>3</v>
      </c>
      <c r="AA685" s="2389"/>
      <c r="AB685" s="2389"/>
      <c r="AC685" s="2389"/>
      <c r="AD685" s="2389"/>
      <c r="AE685" s="2389"/>
      <c r="AF685" s="2430"/>
      <c r="AG685" s="2430"/>
      <c r="AH685" s="2430"/>
      <c r="AI685" s="2430"/>
      <c r="AJ685" s="2430"/>
      <c r="AK685" s="2430"/>
      <c r="AL685" s="1306"/>
      <c r="AM685" s="474"/>
      <c r="AO685" s="46">
        <f>IF(T692&gt;50,50,T692)</f>
        <v>50</v>
      </c>
    </row>
    <row r="686" spans="1:43">
      <c r="A686" s="961" t="s">
        <v>8</v>
      </c>
      <c r="B686" s="2414" t="s">
        <v>299</v>
      </c>
      <c r="C686" s="2414"/>
      <c r="D686" s="2414"/>
      <c r="E686" s="2414"/>
      <c r="F686" s="2414"/>
      <c r="G686" s="2414"/>
      <c r="H686" s="2414"/>
      <c r="I686" s="2414"/>
      <c r="J686" s="2414"/>
      <c r="K686" s="2414"/>
      <c r="L686" s="2414"/>
      <c r="M686" s="2414"/>
      <c r="N686" s="2414"/>
      <c r="O686" s="2414"/>
      <c r="P686" s="2414"/>
      <c r="Q686" s="2414"/>
      <c r="R686" s="2414"/>
      <c r="S686" s="2415"/>
      <c r="T686" s="2413">
        <f>AK73</f>
        <v>10</v>
      </c>
      <c r="U686" s="2413"/>
      <c r="V686" s="2413"/>
      <c r="W686" s="2413"/>
      <c r="X686" s="2413"/>
      <c r="Y686" s="2413"/>
      <c r="Z686" s="1895">
        <v>10</v>
      </c>
      <c r="AA686" s="1895"/>
      <c r="AB686" s="1895"/>
      <c r="AC686" s="1895"/>
      <c r="AD686" s="1895"/>
      <c r="AE686" s="1895"/>
      <c r="AF686" s="1895">
        <f>IF(T686&gt;Z686,Z686,T686)</f>
        <v>10</v>
      </c>
      <c r="AG686" s="1895"/>
      <c r="AH686" s="1895"/>
      <c r="AI686" s="1895"/>
      <c r="AJ686" s="1895"/>
      <c r="AK686" s="1895"/>
      <c r="AL686" s="1306"/>
      <c r="AM686" s="474"/>
    </row>
    <row r="687" spans="1:43">
      <c r="A687" s="961" t="s">
        <v>131</v>
      </c>
      <c r="B687" s="2414" t="s">
        <v>300</v>
      </c>
      <c r="C687" s="2414"/>
      <c r="D687" s="2414"/>
      <c r="E687" s="2414"/>
      <c r="F687" s="2414"/>
      <c r="G687" s="2414"/>
      <c r="H687" s="2414"/>
      <c r="I687" s="2414"/>
      <c r="J687" s="2414"/>
      <c r="K687" s="2414"/>
      <c r="L687" s="2414"/>
      <c r="M687" s="2414"/>
      <c r="N687" s="2414"/>
      <c r="O687" s="2414"/>
      <c r="P687" s="2414"/>
      <c r="Q687" s="2414"/>
      <c r="R687" s="2414"/>
      <c r="S687" s="2415"/>
      <c r="T687" s="2413">
        <f>AO680</f>
        <v>25</v>
      </c>
      <c r="U687" s="2413">
        <f>IF(AND(AND(A688&gt;15,15+A689),A689&gt;10,A688+10),A687,0)</f>
        <v>0</v>
      </c>
      <c r="V687" s="2413">
        <f>IF(AND(AND(B688&gt;15,15+B689),B689&gt;10,B688+10),#REF!,0)</f>
        <v>0</v>
      </c>
      <c r="W687" s="2413">
        <f>IF(AND(AND(C688&gt;15,15+C689),C689&gt;10,C688+10),B687,0)</f>
        <v>0</v>
      </c>
      <c r="X687" s="2413" t="e">
        <f>IF(AND(AND(D688&gt;15,15+D689),D689&gt;10,D688+10),D687,0)</f>
        <v>#VALUE!</v>
      </c>
      <c r="Y687" s="2413" t="e">
        <f>IF(AND(AND(E688&gt;15,15+E689),E689&gt;10,E688+10),E687,0)</f>
        <v>#VALUE!</v>
      </c>
      <c r="Z687" s="1895">
        <v>25</v>
      </c>
      <c r="AA687" s="1895"/>
      <c r="AB687" s="1895"/>
      <c r="AC687" s="1895"/>
      <c r="AD687" s="1895"/>
      <c r="AE687" s="1895"/>
      <c r="AF687" s="1895">
        <f>IF(T687&gt;Z687,Z687,T687)</f>
        <v>25</v>
      </c>
      <c r="AG687" s="1895"/>
      <c r="AH687" s="1895"/>
      <c r="AI687" s="1895"/>
      <c r="AJ687" s="1895"/>
      <c r="AK687" s="1895"/>
      <c r="AL687" s="1306"/>
      <c r="AM687" s="474"/>
    </row>
    <row r="688" spans="1:43">
      <c r="A688" s="961"/>
      <c r="B688" s="964"/>
      <c r="C688" s="965"/>
      <c r="D688" s="962" t="s">
        <v>1644</v>
      </c>
      <c r="E688" s="2418" t="s">
        <v>324</v>
      </c>
      <c r="F688" s="2418"/>
      <c r="G688" s="2418"/>
      <c r="H688" s="2418"/>
      <c r="I688" s="2418"/>
      <c r="J688" s="2418"/>
      <c r="K688" s="2418"/>
      <c r="L688" s="2418"/>
      <c r="M688" s="2418"/>
      <c r="N688" s="2418"/>
      <c r="O688" s="2418"/>
      <c r="P688" s="2418"/>
      <c r="Q688" s="2418"/>
      <c r="R688" s="2418"/>
      <c r="S688" s="2419"/>
      <c r="T688" s="2416">
        <f>AK285</f>
        <v>25</v>
      </c>
      <c r="U688" s="2416"/>
      <c r="V688" s="2416"/>
      <c r="W688" s="2416"/>
      <c r="X688" s="2416"/>
      <c r="Y688" s="2416"/>
      <c r="Z688" s="2389">
        <v>15</v>
      </c>
      <c r="AA688" s="2389"/>
      <c r="AB688" s="2389"/>
      <c r="AC688" s="2389"/>
      <c r="AD688" s="2389"/>
      <c r="AE688" s="2389"/>
      <c r="AF688" s="2430"/>
      <c r="AG688" s="2430"/>
      <c r="AH688" s="2430"/>
      <c r="AI688" s="2430"/>
      <c r="AJ688" s="2430"/>
      <c r="AK688" s="2430"/>
      <c r="AL688" s="1306"/>
      <c r="AM688" s="474"/>
    </row>
    <row r="689" spans="1:39">
      <c r="A689" s="967"/>
      <c r="B689" s="968"/>
      <c r="C689" s="969"/>
      <c r="D689" s="970" t="s">
        <v>1645</v>
      </c>
      <c r="E689" s="2418" t="s">
        <v>325</v>
      </c>
      <c r="F689" s="2418"/>
      <c r="G689" s="2418"/>
      <c r="H689" s="2418"/>
      <c r="I689" s="2418"/>
      <c r="J689" s="2418"/>
      <c r="K689" s="2418"/>
      <c r="L689" s="2418"/>
      <c r="M689" s="2418"/>
      <c r="N689" s="2418"/>
      <c r="O689" s="2418"/>
      <c r="P689" s="2418"/>
      <c r="Q689" s="2418"/>
      <c r="R689" s="2418"/>
      <c r="S689" s="2419"/>
      <c r="T689" s="2416">
        <f>AK476</f>
        <v>10</v>
      </c>
      <c r="U689" s="2416"/>
      <c r="V689" s="2416"/>
      <c r="W689" s="2416"/>
      <c r="X689" s="2416"/>
      <c r="Y689" s="2416"/>
      <c r="Z689" s="2389">
        <v>10</v>
      </c>
      <c r="AA689" s="2389"/>
      <c r="AB689" s="2389"/>
      <c r="AC689" s="2389"/>
      <c r="AD689" s="2389"/>
      <c r="AE689" s="2389"/>
      <c r="AF689" s="2430"/>
      <c r="AG689" s="2430"/>
      <c r="AH689" s="2430"/>
      <c r="AI689" s="2430"/>
      <c r="AJ689" s="2430"/>
      <c r="AK689" s="2430"/>
      <c r="AL689" s="1306"/>
      <c r="AM689" s="474"/>
    </row>
    <row r="690" spans="1:39" hidden="1">
      <c r="A690" s="961" t="s">
        <v>134</v>
      </c>
      <c r="B690" s="2414" t="s">
        <v>599</v>
      </c>
      <c r="C690" s="2414"/>
      <c r="D690" s="2414"/>
      <c r="E690" s="2414"/>
      <c r="F690" s="2414"/>
      <c r="G690" s="2414"/>
      <c r="H690" s="2414"/>
      <c r="I690" s="2414"/>
      <c r="J690" s="2414"/>
      <c r="K690" s="2414"/>
      <c r="L690" s="2414"/>
      <c r="M690" s="2414"/>
      <c r="N690" s="2414"/>
      <c r="O690" s="2414"/>
      <c r="P690" s="2414"/>
      <c r="Q690" s="2414"/>
      <c r="R690" s="2414"/>
      <c r="S690" s="2415"/>
      <c r="T690" s="2413"/>
      <c r="U690" s="2413"/>
      <c r="V690" s="2413"/>
      <c r="W690" s="2413"/>
      <c r="X690" s="2413"/>
      <c r="Y690" s="2413"/>
      <c r="Z690" s="1895"/>
      <c r="AA690" s="1895"/>
      <c r="AB690" s="1895"/>
      <c r="AC690" s="1895"/>
      <c r="AD690" s="1895"/>
      <c r="AE690" s="1895"/>
      <c r="AF690" s="1895"/>
      <c r="AG690" s="1895"/>
      <c r="AH690" s="1895"/>
      <c r="AI690" s="1895"/>
      <c r="AJ690" s="1895"/>
      <c r="AK690" s="1895"/>
      <c r="AL690" s="1306"/>
      <c r="AM690" s="474"/>
    </row>
    <row r="691" spans="1:39">
      <c r="A691" s="1387" t="s">
        <v>134</v>
      </c>
      <c r="B691" s="2414" t="s">
        <v>600</v>
      </c>
      <c r="C691" s="2414"/>
      <c r="D691" s="2414"/>
      <c r="E691" s="2414"/>
      <c r="F691" s="2414"/>
      <c r="G691" s="2414"/>
      <c r="H691" s="2414"/>
      <c r="I691" s="2414"/>
      <c r="J691" s="2414"/>
      <c r="K691" s="2414"/>
      <c r="L691" s="2414"/>
      <c r="M691" s="2414"/>
      <c r="N691" s="2414"/>
      <c r="O691" s="2414"/>
      <c r="P691" s="2414"/>
      <c r="Q691" s="2414"/>
      <c r="R691" s="2414"/>
      <c r="S691" s="2415"/>
      <c r="T691" s="2439">
        <f>IF(SUM(T692:Y693)&gt;52,52,SUM(T692:Y693))</f>
        <v>52</v>
      </c>
      <c r="U691" s="2407"/>
      <c r="V691" s="2407"/>
      <c r="W691" s="2407"/>
      <c r="X691" s="2407"/>
      <c r="Y691" s="2407"/>
      <c r="Z691" s="2407">
        <v>52</v>
      </c>
      <c r="AA691" s="2407"/>
      <c r="AB691" s="2407"/>
      <c r="AC691" s="2407"/>
      <c r="AD691" s="2407"/>
      <c r="AE691" s="2407"/>
      <c r="AF691" s="2407">
        <f>$AO$685+$T$693</f>
        <v>52</v>
      </c>
      <c r="AG691" s="2407"/>
      <c r="AH691" s="2407"/>
      <c r="AI691" s="2407"/>
      <c r="AJ691" s="2407"/>
      <c r="AK691" s="2407"/>
      <c r="AL691" s="1306"/>
      <c r="AM691" s="474"/>
    </row>
    <row r="692" spans="1:39">
      <c r="A692" s="971"/>
      <c r="B692" s="973"/>
      <c r="C692" s="974"/>
      <c r="D692" s="975" t="s">
        <v>1646</v>
      </c>
      <c r="E692" s="2418" t="s">
        <v>200</v>
      </c>
      <c r="F692" s="2418"/>
      <c r="G692" s="2418"/>
      <c r="H692" s="2418"/>
      <c r="I692" s="2418"/>
      <c r="J692" s="2418"/>
      <c r="K692" s="2418"/>
      <c r="L692" s="2418"/>
      <c r="M692" s="2418"/>
      <c r="N692" s="2418"/>
      <c r="O692" s="2418"/>
      <c r="P692" s="2418"/>
      <c r="Q692" s="2418"/>
      <c r="R692" s="2418"/>
      <c r="S692" s="2419"/>
      <c r="T692" s="2408">
        <f>AC592</f>
        <v>52.5</v>
      </c>
      <c r="U692" s="2409"/>
      <c r="V692" s="2409"/>
      <c r="W692" s="2409"/>
      <c r="X692" s="2409"/>
      <c r="Y692" s="2410"/>
      <c r="Z692" s="2408">
        <v>50</v>
      </c>
      <c r="AA692" s="2409"/>
      <c r="AB692" s="2409"/>
      <c r="AC692" s="2409"/>
      <c r="AD692" s="2409"/>
      <c r="AE692" s="2410"/>
      <c r="AF692" s="2446"/>
      <c r="AG692" s="2447"/>
      <c r="AH692" s="2447"/>
      <c r="AI692" s="2447"/>
      <c r="AJ692" s="2447"/>
      <c r="AK692" s="2448"/>
      <c r="AL692" s="1306"/>
      <c r="AM692" s="46"/>
    </row>
    <row r="693" spans="1:39">
      <c r="A693" s="976"/>
      <c r="B693" s="964"/>
      <c r="C693" s="965"/>
      <c r="D693" s="962" t="s">
        <v>1647</v>
      </c>
      <c r="E693" s="2418" t="s">
        <v>297</v>
      </c>
      <c r="F693" s="2418"/>
      <c r="G693" s="2418"/>
      <c r="H693" s="2418"/>
      <c r="I693" s="2418"/>
      <c r="J693" s="2418"/>
      <c r="K693" s="2418"/>
      <c r="L693" s="2418"/>
      <c r="M693" s="2418"/>
      <c r="N693" s="2418"/>
      <c r="O693" s="2418"/>
      <c r="P693" s="2418"/>
      <c r="Q693" s="2418"/>
      <c r="R693" s="2418"/>
      <c r="S693" s="2419"/>
      <c r="T693" s="2436">
        <f>IF(AJ616&gt;0,2,0)</f>
        <v>2</v>
      </c>
      <c r="U693" s="2437"/>
      <c r="V693" s="2437"/>
      <c r="W693" s="2437"/>
      <c r="X693" s="2437"/>
      <c r="Y693" s="2438"/>
      <c r="Z693" s="2359">
        <v>2</v>
      </c>
      <c r="AA693" s="2417"/>
      <c r="AB693" s="2417"/>
      <c r="AC693" s="2417"/>
      <c r="AD693" s="2417"/>
      <c r="AE693" s="2360"/>
      <c r="AF693" s="2433"/>
      <c r="AG693" s="2434"/>
      <c r="AH693" s="2434"/>
      <c r="AI693" s="2434"/>
      <c r="AJ693" s="2434"/>
      <c r="AK693" s="2435"/>
      <c r="AL693" s="1306"/>
      <c r="AM693" s="46"/>
    </row>
    <row r="694" spans="1:39">
      <c r="A694" s="971" t="s">
        <v>135</v>
      </c>
      <c r="B694" s="2414" t="s">
        <v>601</v>
      </c>
      <c r="C694" s="2414"/>
      <c r="D694" s="2414"/>
      <c r="E694" s="2414"/>
      <c r="F694" s="2414"/>
      <c r="G694" s="2414"/>
      <c r="H694" s="2414"/>
      <c r="I694" s="2414"/>
      <c r="J694" s="2414"/>
      <c r="K694" s="2414"/>
      <c r="L694" s="2414"/>
      <c r="M694" s="2414"/>
      <c r="N694" s="2414"/>
      <c r="O694" s="2414"/>
      <c r="P694" s="2414"/>
      <c r="Q694" s="2414"/>
      <c r="R694" s="2414"/>
      <c r="S694" s="2415"/>
      <c r="T694" s="2413">
        <f>AK645</f>
        <v>10</v>
      </c>
      <c r="U694" s="2413"/>
      <c r="V694" s="2413"/>
      <c r="W694" s="2413"/>
      <c r="X694" s="2413"/>
      <c r="Y694" s="2413"/>
      <c r="Z694" s="1895">
        <v>10</v>
      </c>
      <c r="AA694" s="1895"/>
      <c r="AB694" s="1895"/>
      <c r="AC694" s="1895"/>
      <c r="AD694" s="1895"/>
      <c r="AE694" s="1895"/>
      <c r="AF694" s="1862">
        <f>IF(T694&gt;Z694,Z694,T694)</f>
        <v>10</v>
      </c>
      <c r="AG694" s="1863"/>
      <c r="AH694" s="1863"/>
      <c r="AI694" s="1863"/>
      <c r="AJ694" s="1863"/>
      <c r="AK694" s="1948"/>
      <c r="AL694" s="1306"/>
      <c r="AM694" s="205"/>
    </row>
    <row r="695" spans="1:39">
      <c r="A695" s="971" t="s">
        <v>137</v>
      </c>
      <c r="B695" s="2414" t="s">
        <v>1089</v>
      </c>
      <c r="C695" s="2414"/>
      <c r="D695" s="2414"/>
      <c r="E695" s="2414"/>
      <c r="F695" s="2414"/>
      <c r="G695" s="2414"/>
      <c r="H695" s="2414"/>
      <c r="I695" s="2414"/>
      <c r="J695" s="2414"/>
      <c r="K695" s="2414"/>
      <c r="L695" s="2414"/>
      <c r="M695" s="2414"/>
      <c r="N695" s="2414"/>
      <c r="O695" s="2414"/>
      <c r="P695" s="2414"/>
      <c r="Q695" s="2414"/>
      <c r="R695" s="2414"/>
      <c r="S695" s="2415"/>
      <c r="T695" s="2440">
        <f>IF(AK673&gt;2,2,AK673)</f>
        <v>2</v>
      </c>
      <c r="U695" s="2441"/>
      <c r="V695" s="2441"/>
      <c r="W695" s="2441"/>
      <c r="X695" s="2441"/>
      <c r="Y695" s="2442"/>
      <c r="Z695" s="1862">
        <v>2</v>
      </c>
      <c r="AA695" s="1863"/>
      <c r="AB695" s="1863"/>
      <c r="AC695" s="1863"/>
      <c r="AD695" s="1863"/>
      <c r="AE695" s="1948"/>
      <c r="AF695" s="1862">
        <f>IF(T695&gt;Z695,Z695,T695)</f>
        <v>2</v>
      </c>
      <c r="AG695" s="2431"/>
      <c r="AH695" s="2431"/>
      <c r="AI695" s="2431"/>
      <c r="AJ695" s="2431"/>
      <c r="AK695" s="2432"/>
      <c r="AL695" s="358"/>
      <c r="AM695" s="205"/>
    </row>
    <row r="696" spans="1:39">
      <c r="A696" s="2544" t="s">
        <v>327</v>
      </c>
      <c r="B696" s="2414"/>
      <c r="C696" s="2414"/>
      <c r="D696" s="2414"/>
      <c r="E696" s="2414"/>
      <c r="F696" s="2414"/>
      <c r="G696" s="2414"/>
      <c r="H696" s="2414"/>
      <c r="I696" s="2414"/>
      <c r="J696" s="2414"/>
      <c r="K696" s="2414"/>
      <c r="L696" s="2414"/>
      <c r="M696" s="2414"/>
      <c r="N696" s="2414"/>
      <c r="O696" s="2414"/>
      <c r="P696" s="2414"/>
      <c r="Q696" s="2414"/>
      <c r="R696" s="2414"/>
      <c r="S696" s="2415"/>
      <c r="T696" s="1854"/>
      <c r="U696" s="1854"/>
      <c r="V696" s="1854"/>
      <c r="W696" s="1854"/>
      <c r="X696" s="1854"/>
      <c r="Y696" s="1854"/>
      <c r="Z696" s="2389" t="s">
        <v>326</v>
      </c>
      <c r="AA696" s="2389"/>
      <c r="AB696" s="2389"/>
      <c r="AC696" s="2389"/>
      <c r="AD696" s="2389"/>
      <c r="AE696" s="2389"/>
      <c r="AF696" s="1862">
        <f>IF(T696&gt;0,T696,0)</f>
        <v>0</v>
      </c>
      <c r="AG696" s="1863"/>
      <c r="AH696" s="1863"/>
      <c r="AI696" s="1863"/>
      <c r="AJ696" s="1863"/>
      <c r="AK696" s="1948"/>
      <c r="AL696" s="1297"/>
      <c r="AM696" s="205"/>
    </row>
    <row r="697" spans="1:39" ht="15.6">
      <c r="A697" s="2534" t="s">
        <v>788</v>
      </c>
      <c r="B697" s="2535"/>
      <c r="C697" s="2535"/>
      <c r="D697" s="2535"/>
      <c r="E697" s="2535"/>
      <c r="F697" s="2535"/>
      <c r="G697" s="2535"/>
      <c r="H697" s="2535"/>
      <c r="I697" s="2535"/>
      <c r="J697" s="2535"/>
      <c r="K697" s="2535"/>
      <c r="L697" s="2535"/>
      <c r="M697" s="2535"/>
      <c r="N697" s="2535"/>
      <c r="O697" s="2535"/>
      <c r="P697" s="2535"/>
      <c r="Q697" s="2535"/>
      <c r="R697" s="2535"/>
      <c r="S697" s="2535"/>
      <c r="T697" s="2535"/>
      <c r="U697" s="2535"/>
      <c r="V697" s="2535"/>
      <c r="W697" s="2535"/>
      <c r="X697" s="2535"/>
      <c r="Y697" s="2535"/>
      <c r="Z697" s="2535"/>
      <c r="AA697" s="2535"/>
      <c r="AB697" s="2535"/>
      <c r="AC697" s="2535"/>
      <c r="AD697" s="2535"/>
      <c r="AE697" s="2536"/>
      <c r="AF697" s="2420">
        <f>SUM(AF683:AK695)-AF696</f>
        <v>109</v>
      </c>
      <c r="AG697" s="2421"/>
      <c r="AH697" s="2421"/>
      <c r="AI697" s="2421"/>
      <c r="AJ697" s="2421"/>
      <c r="AK697" s="2422"/>
      <c r="AL697" s="1307"/>
      <c r="AM697" s="46"/>
    </row>
    <row r="698" spans="1:39" ht="15.6">
      <c r="A698" s="2537"/>
      <c r="B698" s="2538"/>
      <c r="C698" s="2538"/>
      <c r="D698" s="2538"/>
      <c r="E698" s="2538"/>
      <c r="F698" s="2538"/>
      <c r="G698" s="2538"/>
      <c r="H698" s="2538"/>
      <c r="I698" s="2538"/>
      <c r="J698" s="2538"/>
      <c r="K698" s="2538"/>
      <c r="L698" s="2538"/>
      <c r="M698" s="2538"/>
      <c r="N698" s="2538"/>
      <c r="O698" s="2538"/>
      <c r="P698" s="2538"/>
      <c r="Q698" s="2538"/>
      <c r="R698" s="2538"/>
      <c r="S698" s="2538"/>
      <c r="T698" s="2538"/>
      <c r="U698" s="2538"/>
      <c r="V698" s="2538"/>
      <c r="W698" s="2538"/>
      <c r="X698" s="2538"/>
      <c r="Y698" s="2538"/>
      <c r="Z698" s="2538"/>
      <c r="AA698" s="2538"/>
      <c r="AB698" s="2538"/>
      <c r="AC698" s="2538"/>
      <c r="AD698" s="2538"/>
      <c r="AE698" s="2539"/>
      <c r="AF698" s="2423"/>
      <c r="AG698" s="2424"/>
      <c r="AH698" s="2424"/>
      <c r="AI698" s="2424"/>
      <c r="AJ698" s="2424"/>
      <c r="AK698" s="2425"/>
      <c r="AL698" s="1307"/>
      <c r="AM698" s="46"/>
    </row>
    <row r="699" spans="1:39">
      <c r="A699" s="2097" t="s">
        <v>7</v>
      </c>
      <c r="B699" s="2097"/>
      <c r="C699" s="2097"/>
      <c r="D699" s="2097"/>
      <c r="E699" s="2097"/>
      <c r="F699" s="2097"/>
      <c r="G699" s="2097"/>
      <c r="H699" s="2097"/>
      <c r="I699" s="2097"/>
      <c r="J699" s="2097"/>
      <c r="K699" s="2097"/>
      <c r="L699" s="2097"/>
      <c r="M699" s="2097"/>
      <c r="N699" s="2097"/>
      <c r="O699" s="2097"/>
      <c r="P699" s="2097"/>
      <c r="Q699" s="2097"/>
      <c r="R699" s="2097"/>
      <c r="S699" s="2097"/>
      <c r="T699" s="2097"/>
      <c r="U699" s="2097"/>
      <c r="V699" s="2097"/>
      <c r="W699" s="2097"/>
      <c r="X699" s="2097"/>
      <c r="Y699" s="2097"/>
      <c r="Z699" s="2097"/>
      <c r="AA699" s="2097"/>
      <c r="AB699" s="2097"/>
      <c r="AC699" s="2097"/>
      <c r="AD699" s="2097"/>
      <c r="AE699" s="2097"/>
      <c r="AF699" s="2097"/>
      <c r="AG699" s="2097"/>
      <c r="AH699" s="2097"/>
      <c r="AI699" s="2097"/>
      <c r="AJ699" s="2097"/>
      <c r="AK699" s="2097"/>
      <c r="AL699" s="2097"/>
      <c r="AM699" s="2286"/>
    </row>
    <row r="700" spans="1:39" ht="12.45" customHeight="1">
      <c r="A700" s="2097"/>
      <c r="B700" s="2097"/>
      <c r="C700" s="2097"/>
      <c r="D700" s="2097"/>
      <c r="E700" s="2097"/>
      <c r="F700" s="2097"/>
      <c r="G700" s="2097"/>
      <c r="H700" s="2097"/>
      <c r="I700" s="2097"/>
      <c r="J700" s="2097"/>
      <c r="K700" s="2097"/>
      <c r="L700" s="2097"/>
      <c r="M700" s="2097"/>
      <c r="N700" s="2097"/>
      <c r="O700" s="2097"/>
      <c r="P700" s="2097"/>
      <c r="Q700" s="2097"/>
      <c r="R700" s="2097"/>
      <c r="S700" s="2097"/>
      <c r="T700" s="2097"/>
      <c r="U700" s="2097"/>
      <c r="V700" s="2097"/>
      <c r="W700" s="2097"/>
      <c r="X700" s="2097"/>
      <c r="Y700" s="2097"/>
      <c r="Z700" s="2097"/>
      <c r="AA700" s="2097"/>
      <c r="AB700" s="2097"/>
      <c r="AC700" s="2097"/>
      <c r="AD700" s="2097"/>
      <c r="AE700" s="2097"/>
      <c r="AF700" s="2097"/>
      <c r="AG700" s="2097"/>
      <c r="AH700" s="2097"/>
      <c r="AI700" s="2097"/>
      <c r="AJ700" s="2097"/>
      <c r="AK700" s="2097"/>
      <c r="AL700" s="2097"/>
      <c r="AM700" s="2286"/>
    </row>
    <row r="701" spans="1:39" ht="56.25" customHeight="1">
      <c r="A701" s="2097"/>
      <c r="B701" s="2097"/>
      <c r="C701" s="2097"/>
      <c r="D701" s="2097"/>
      <c r="E701" s="2097"/>
      <c r="F701" s="2097"/>
      <c r="G701" s="2097"/>
      <c r="H701" s="2097"/>
      <c r="I701" s="2097"/>
      <c r="J701" s="2097"/>
      <c r="K701" s="2097"/>
      <c r="L701" s="2097"/>
      <c r="M701" s="2097"/>
      <c r="N701" s="2097"/>
      <c r="O701" s="2097"/>
      <c r="P701" s="2097"/>
      <c r="Q701" s="2097"/>
      <c r="R701" s="2097"/>
      <c r="S701" s="2097"/>
      <c r="T701" s="2097"/>
      <c r="U701" s="2097"/>
      <c r="V701" s="2097"/>
      <c r="W701" s="2097"/>
      <c r="X701" s="2097"/>
      <c r="Y701" s="2097"/>
      <c r="Z701" s="2097"/>
      <c r="AA701" s="2097"/>
      <c r="AB701" s="2097"/>
      <c r="AC701" s="2097"/>
      <c r="AD701" s="2097"/>
      <c r="AE701" s="2097"/>
      <c r="AF701" s="2097"/>
      <c r="AG701" s="2097"/>
      <c r="AH701" s="2097"/>
      <c r="AI701" s="2097"/>
      <c r="AJ701" s="2097"/>
      <c r="AK701" s="2097"/>
      <c r="AL701" s="2097"/>
      <c r="AM701" s="2286"/>
    </row>
    <row r="702" spans="1:39" ht="12.45" hidden="1" customHeight="1">
      <c r="A702" s="2097"/>
      <c r="B702" s="2097"/>
      <c r="C702" s="2097"/>
      <c r="D702" s="2097"/>
      <c r="E702" s="2097"/>
      <c r="F702" s="2097"/>
      <c r="G702" s="2097"/>
      <c r="H702" s="2097"/>
      <c r="I702" s="2097"/>
      <c r="J702" s="2097"/>
      <c r="K702" s="2097"/>
      <c r="L702" s="2097"/>
      <c r="M702" s="2097"/>
      <c r="N702" s="2097"/>
      <c r="O702" s="2097"/>
      <c r="P702" s="2097"/>
      <c r="Q702" s="2097"/>
      <c r="R702" s="2097"/>
      <c r="S702" s="2097"/>
      <c r="T702" s="2097"/>
      <c r="U702" s="2097"/>
      <c r="V702" s="2097"/>
      <c r="W702" s="2097"/>
      <c r="X702" s="2097"/>
      <c r="Y702" s="2097"/>
      <c r="Z702" s="2097"/>
      <c r="AA702" s="2097"/>
      <c r="AB702" s="2097"/>
      <c r="AC702" s="2097"/>
      <c r="AD702" s="2097"/>
      <c r="AE702" s="2097"/>
      <c r="AF702" s="2097"/>
      <c r="AG702" s="2097"/>
      <c r="AH702" s="2097"/>
      <c r="AI702" s="2097"/>
      <c r="AJ702" s="2097"/>
      <c r="AK702" s="2097"/>
      <c r="AL702" s="2097"/>
      <c r="AM702" s="2286"/>
    </row>
    <row r="703" spans="1:39" ht="12.45" hidden="1" customHeight="1">
      <c r="A703" s="2097"/>
      <c r="B703" s="2097"/>
      <c r="C703" s="2097"/>
      <c r="D703" s="2097"/>
      <c r="E703" s="2097"/>
      <c r="F703" s="2097"/>
      <c r="G703" s="2097"/>
      <c r="H703" s="2097"/>
      <c r="I703" s="2097"/>
      <c r="J703" s="2097"/>
      <c r="K703" s="2097"/>
      <c r="L703" s="2097"/>
      <c r="M703" s="2097"/>
      <c r="N703" s="2097"/>
      <c r="O703" s="2097"/>
      <c r="P703" s="2097"/>
      <c r="Q703" s="2097"/>
      <c r="R703" s="2097"/>
      <c r="S703" s="2097"/>
      <c r="T703" s="2097"/>
      <c r="U703" s="2097"/>
      <c r="V703" s="2097"/>
      <c r="W703" s="2097"/>
      <c r="X703" s="2097"/>
      <c r="Y703" s="2097"/>
      <c r="Z703" s="2097"/>
      <c r="AA703" s="2097"/>
      <c r="AB703" s="2097"/>
      <c r="AC703" s="2097"/>
      <c r="AD703" s="2097"/>
      <c r="AE703" s="2097"/>
      <c r="AF703" s="2097"/>
      <c r="AG703" s="2097"/>
      <c r="AH703" s="2097"/>
      <c r="AI703" s="2097"/>
      <c r="AJ703" s="2097"/>
      <c r="AK703" s="2097"/>
      <c r="AL703" s="2097"/>
      <c r="AM703" s="2286"/>
    </row>
    <row r="704" spans="1:39" ht="12.45" hidden="1" customHeight="1">
      <c r="A704" s="2097"/>
      <c r="B704" s="2097"/>
      <c r="C704" s="2097"/>
      <c r="D704" s="2097"/>
      <c r="E704" s="2097"/>
      <c r="F704" s="2097"/>
      <c r="G704" s="2097"/>
      <c r="H704" s="2097"/>
      <c r="I704" s="2097"/>
      <c r="J704" s="2097"/>
      <c r="K704" s="2097"/>
      <c r="L704" s="2097"/>
      <c r="M704" s="2097"/>
      <c r="N704" s="2097"/>
      <c r="O704" s="2097"/>
      <c r="P704" s="2097"/>
      <c r="Q704" s="2097"/>
      <c r="R704" s="2097"/>
      <c r="S704" s="2097"/>
      <c r="T704" s="2097"/>
      <c r="U704" s="2097"/>
      <c r="V704" s="2097"/>
      <c r="W704" s="2097"/>
      <c r="X704" s="2097"/>
      <c r="Y704" s="2097"/>
      <c r="Z704" s="2097"/>
      <c r="AA704" s="2097"/>
      <c r="AB704" s="2097"/>
      <c r="AC704" s="2097"/>
      <c r="AD704" s="2097"/>
      <c r="AE704" s="2097"/>
      <c r="AF704" s="2097"/>
      <c r="AG704" s="2097"/>
      <c r="AH704" s="2097"/>
      <c r="AI704" s="2097"/>
      <c r="AJ704" s="2097"/>
      <c r="AK704" s="2097"/>
      <c r="AL704" s="2097"/>
      <c r="AM704" s="2286"/>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E24" sqref="E24"/>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67" t="s">
        <v>129</v>
      </c>
      <c r="B1" s="2567"/>
      <c r="C1" s="2567"/>
      <c r="D1" s="2567"/>
      <c r="E1" s="2567"/>
      <c r="F1" s="2567"/>
      <c r="G1" s="2567"/>
      <c r="H1" s="2567"/>
      <c r="I1" s="2567"/>
      <c r="J1" s="2567"/>
      <c r="K1" s="2567"/>
      <c r="L1" s="448"/>
      <c r="M1" s="448"/>
      <c r="N1" s="448"/>
      <c r="O1" s="448"/>
      <c r="P1" s="448"/>
      <c r="Q1" s="448"/>
      <c r="R1" s="448"/>
      <c r="S1" s="448"/>
      <c r="T1" s="448"/>
      <c r="U1" s="448"/>
      <c r="V1" s="448"/>
      <c r="W1" s="448"/>
      <c r="X1" s="448"/>
      <c r="Y1" s="448"/>
      <c r="Z1" s="448"/>
      <c r="AA1" s="448"/>
      <c r="AB1" s="448"/>
      <c r="AC1" s="448"/>
      <c r="AD1" s="448"/>
      <c r="AE1" s="448"/>
      <c r="AF1" s="448"/>
      <c r="AG1" s="448"/>
    </row>
    <row r="2" spans="1:33">
      <c r="A2" s="2567"/>
      <c r="B2" s="2567"/>
      <c r="C2" s="2567"/>
      <c r="D2" s="2567"/>
      <c r="E2" s="2567"/>
      <c r="F2" s="2567"/>
      <c r="G2" s="2567"/>
      <c r="H2" s="2567"/>
      <c r="I2" s="2567"/>
      <c r="J2" s="2567"/>
      <c r="K2" s="256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79" t="s">
        <v>654</v>
      </c>
      <c r="D4" s="2579"/>
      <c r="E4" s="2579"/>
      <c r="F4" s="2579"/>
      <c r="G4" s="2579"/>
      <c r="H4" s="2579"/>
      <c r="I4" s="2579"/>
      <c r="J4" s="2579"/>
    </row>
    <row r="5" spans="1:33">
      <c r="C5" s="2579"/>
      <c r="D5" s="2579"/>
      <c r="E5" s="2579"/>
      <c r="F5" s="2579"/>
      <c r="G5" s="2579"/>
      <c r="H5" s="2579"/>
      <c r="I5" s="2579"/>
      <c r="J5" s="2579"/>
    </row>
    <row r="6" spans="1:33">
      <c r="C6" s="462"/>
      <c r="D6" s="462"/>
      <c r="E6" s="462"/>
      <c r="F6" s="462"/>
      <c r="G6" s="462"/>
      <c r="H6" s="462"/>
      <c r="I6" s="462"/>
      <c r="J6" s="462"/>
    </row>
    <row r="7" spans="1:33">
      <c r="C7" s="463" t="s">
        <v>814</v>
      </c>
      <c r="D7" s="462"/>
      <c r="E7" s="2574" t="str">
        <f>Application!H15</f>
        <v>Vista del Monte Affordable Housing, Inc.</v>
      </c>
      <c r="F7" s="2574"/>
      <c r="G7" s="2574"/>
      <c r="H7" s="462"/>
      <c r="I7" s="463" t="s">
        <v>1951</v>
      </c>
      <c r="J7" s="1093">
        <f>Application!AG433+Application!AG431</f>
        <v>62</v>
      </c>
    </row>
    <row r="8" spans="1:33">
      <c r="C8" s="463" t="s">
        <v>815</v>
      </c>
      <c r="D8" s="462"/>
      <c r="E8" s="2574" t="str">
        <f>Application!H17</f>
        <v>6th Street Grand</v>
      </c>
      <c r="F8" s="2574"/>
      <c r="G8" s="2574"/>
      <c r="H8" s="462"/>
      <c r="I8" s="463" t="s">
        <v>1952</v>
      </c>
      <c r="J8" s="1096">
        <f>Application!$CQ$648</f>
        <v>116</v>
      </c>
    </row>
    <row r="9" spans="1:33" ht="14.25" customHeight="1">
      <c r="C9" s="463" t="s">
        <v>816</v>
      </c>
      <c r="D9" s="462"/>
      <c r="E9" s="2580" t="str">
        <f>Application!D214</f>
        <v>Special Needs</v>
      </c>
      <c r="F9" s="2580"/>
      <c r="G9" s="2580"/>
      <c r="H9" s="462"/>
      <c r="I9" s="463" t="s">
        <v>1953</v>
      </c>
      <c r="J9" s="732">
        <v>40</v>
      </c>
      <c r="N9" s="1092"/>
    </row>
    <row r="10" spans="1:33" ht="26.85" customHeight="1">
      <c r="C10" s="2579" t="s">
        <v>1950</v>
      </c>
      <c r="D10" s="2579"/>
      <c r="E10" s="2581" t="str">
        <f>Application!$E$217</f>
        <v>Large Family</v>
      </c>
      <c r="F10" s="2581"/>
      <c r="G10" s="2581"/>
      <c r="H10" s="1090"/>
      <c r="I10" s="1095" t="s">
        <v>1954</v>
      </c>
      <c r="J10" s="1094">
        <f>IF(J9&gt;0,J8-J9,J8)</f>
        <v>76</v>
      </c>
      <c r="N10" s="1092"/>
    </row>
    <row r="11" spans="1:33">
      <c r="C11" s="451"/>
      <c r="N11" s="1092"/>
    </row>
    <row r="12" spans="1:33" ht="15" customHeight="1">
      <c r="C12" s="2568" t="s">
        <v>960</v>
      </c>
      <c r="D12" s="2569"/>
      <c r="E12" s="2570"/>
      <c r="F12" s="2575" t="s">
        <v>1219</v>
      </c>
      <c r="G12" s="2575" t="s">
        <v>961</v>
      </c>
      <c r="H12" s="2577" t="s">
        <v>2072</v>
      </c>
      <c r="I12" s="2575" t="s">
        <v>1220</v>
      </c>
      <c r="J12" s="2575" t="s">
        <v>2071</v>
      </c>
      <c r="N12" s="1092"/>
    </row>
    <row r="13" spans="1:33" ht="68.25" customHeight="1">
      <c r="C13" s="2571"/>
      <c r="D13" s="2572"/>
      <c r="E13" s="2573"/>
      <c r="F13" s="2576"/>
      <c r="G13" s="2576"/>
      <c r="H13" s="2578"/>
      <c r="I13" s="2576"/>
      <c r="J13" s="2576"/>
    </row>
    <row r="14" spans="1:33" ht="15" customHeight="1">
      <c r="C14" s="1107" t="s">
        <v>2216</v>
      </c>
      <c r="D14" s="1108"/>
      <c r="E14" s="1108"/>
      <c r="F14" s="1105"/>
      <c r="G14" s="1105"/>
      <c r="H14" s="1106"/>
      <c r="I14" s="1106"/>
      <c r="J14" s="1106"/>
    </row>
    <row r="15" spans="1:33">
      <c r="C15" s="452" t="s">
        <v>962</v>
      </c>
      <c r="D15" s="449" t="s">
        <v>972</v>
      </c>
      <c r="F15" s="459" t="s">
        <v>2479</v>
      </c>
      <c r="G15" s="460">
        <v>15000</v>
      </c>
      <c r="H15" s="642"/>
      <c r="I15" s="642" t="s">
        <v>2350</v>
      </c>
      <c r="J15" s="642" t="s">
        <v>2485</v>
      </c>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9"/>
      <c r="F20" s="1118" t="s">
        <v>2478</v>
      </c>
      <c r="G20" s="639">
        <v>5000</v>
      </c>
      <c r="H20" s="642"/>
      <c r="I20" s="642" t="s">
        <v>2350</v>
      </c>
      <c r="J20" s="642" t="s">
        <v>2485</v>
      </c>
    </row>
    <row r="21" spans="3:10">
      <c r="C21" s="1097"/>
      <c r="D21" s="1098"/>
      <c r="E21" s="1099"/>
      <c r="F21" s="1118"/>
      <c r="G21" s="639"/>
      <c r="H21" s="642"/>
      <c r="I21" s="642"/>
      <c r="J21" s="642"/>
    </row>
    <row r="22" spans="3:10">
      <c r="C22" s="1109" t="s">
        <v>1894</v>
      </c>
      <c r="D22" s="1110"/>
      <c r="E22" s="1110"/>
      <c r="F22" s="1111"/>
      <c r="G22" s="1112"/>
      <c r="H22" s="1113"/>
      <c r="I22" s="1113"/>
      <c r="J22" s="1113"/>
    </row>
    <row r="23" spans="3:10">
      <c r="C23" s="452" t="s">
        <v>968</v>
      </c>
      <c r="D23" s="450" t="s">
        <v>1120</v>
      </c>
      <c r="E23" s="450"/>
      <c r="F23" s="459" t="s">
        <v>2480</v>
      </c>
      <c r="G23" s="639">
        <v>130899</v>
      </c>
      <c r="H23" s="642"/>
      <c r="I23" s="642" t="s">
        <v>2443</v>
      </c>
      <c r="J23" s="642" t="s">
        <v>2484</v>
      </c>
    </row>
    <row r="24" spans="3:10">
      <c r="C24" s="452" t="s">
        <v>969</v>
      </c>
      <c r="D24" s="450" t="s">
        <v>1121</v>
      </c>
      <c r="E24" s="450"/>
      <c r="F24" s="459" t="s">
        <v>2480</v>
      </c>
      <c r="G24" s="639">
        <v>36501</v>
      </c>
      <c r="H24" s="642"/>
      <c r="I24" s="642" t="s">
        <v>2443</v>
      </c>
      <c r="J24" s="642" t="s">
        <v>2484</v>
      </c>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0"/>
      <c r="D29" s="451"/>
      <c r="E29" s="451"/>
      <c r="F29" s="459"/>
      <c r="G29" s="639"/>
      <c r="H29" s="642"/>
      <c r="I29" s="642"/>
      <c r="J29" s="642"/>
    </row>
    <row r="30" spans="3:10">
      <c r="C30" s="1114" t="s">
        <v>971</v>
      </c>
      <c r="D30" s="1110"/>
      <c r="E30" s="1110"/>
      <c r="F30" s="1115"/>
      <c r="G30" s="1116"/>
      <c r="H30" s="1117"/>
      <c r="I30" s="1117"/>
      <c r="J30" s="1117"/>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187400</v>
      </c>
      <c r="H35" s="641"/>
      <c r="I35" s="641"/>
      <c r="J35" s="641"/>
    </row>
    <row r="36" spans="3:10"/>
    <row r="37" spans="3:10" ht="16.2">
      <c r="C37" s="447" t="s">
        <v>1969</v>
      </c>
    </row>
    <row r="38" spans="3:10" s="461" customFormat="1" ht="17.25" customHeight="1">
      <c r="C38" s="476" t="s">
        <v>2073</v>
      </c>
    </row>
    <row r="39" spans="3:10" s="461" customFormat="1" ht="14.4">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Application</vt:lpstr>
      <vt:lpstr>Checklist Items</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Cara Krieger</cp:lastModifiedBy>
  <cp:lastPrinted>2021-03-03T17:07:30Z</cp:lastPrinted>
  <dcterms:created xsi:type="dcterms:W3CDTF">2007-12-27T18:26:28Z</dcterms:created>
  <dcterms:modified xsi:type="dcterms:W3CDTF">2021-03-08T21:58:27Z</dcterms:modified>
</cp:coreProperties>
</file>